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şisel\2021\motus internet sitesi\Ürünler Sayfası\2_Emotron\Soft Starter\3_TSA Serisi\Yazılım\"/>
    </mc:Choice>
  </mc:AlternateContent>
  <xr:revisionPtr revIDLastSave="0" documentId="8_{249CD97A-9DF9-44F1-B85A-DBB6693F5BA8}" xr6:coauthVersionLast="45" xr6:coauthVersionMax="45" xr10:uidLastSave="{00000000-0000-0000-0000-000000000000}"/>
  <bookViews>
    <workbookView xWindow="-120" yWindow="-120" windowWidth="20730" windowHeight="11310" tabRatio="732" xr2:uid="{00000000-000D-0000-FFFF-FFFF00000000}"/>
  </bookViews>
  <sheets>
    <sheet name="TSA (16A-450A)" sheetId="3" r:id="rId1"/>
    <sheet name="Sheet2" sheetId="6" r:id="rId2"/>
  </sheets>
  <definedNames>
    <definedName name="_xlnm.Print_Area" localSheetId="0">'TSA (16A-450A)'!$A$1:$D$48</definedName>
  </definedNames>
  <calcPr calcId="181029"/>
</workbook>
</file>

<file path=xl/calcChain.xml><?xml version="1.0" encoding="utf-8"?>
<calcChain xmlns="http://schemas.openxmlformats.org/spreadsheetml/2006/main">
  <c r="F43" i="3" l="1"/>
  <c r="P43" i="3" s="1"/>
  <c r="F41" i="3"/>
  <c r="G41" i="3" s="1"/>
  <c r="O41" i="3" s="1"/>
  <c r="W41" i="3" s="1"/>
  <c r="F39" i="3"/>
  <c r="P39" i="3" s="1"/>
  <c r="F37" i="3"/>
  <c r="G37" i="3" s="1"/>
  <c r="O37" i="3" s="1"/>
  <c r="U37" i="3" s="1"/>
  <c r="L43" i="3"/>
  <c r="L41" i="3"/>
  <c r="L39" i="3"/>
  <c r="L37" i="3"/>
  <c r="G39" i="3" l="1"/>
  <c r="O39" i="3" s="1"/>
  <c r="G43" i="3"/>
  <c r="O43" i="3" s="1"/>
  <c r="U43" i="3" s="1"/>
  <c r="P41" i="3"/>
  <c r="P37" i="3"/>
  <c r="U41" i="3"/>
  <c r="X41" i="3" s="1"/>
  <c r="W37" i="3"/>
  <c r="X37" i="3" s="1"/>
  <c r="G7" i="3"/>
  <c r="Q39" i="3" l="1"/>
  <c r="S39" i="3" s="1"/>
  <c r="Z39" i="3" s="1"/>
  <c r="Q37" i="3"/>
  <c r="S37" i="3" s="1"/>
  <c r="Z37" i="3" s="1"/>
  <c r="AA37" i="3" s="1"/>
  <c r="D37" i="3" s="1"/>
  <c r="Q41" i="3"/>
  <c r="S41" i="3" s="1"/>
  <c r="Z41" i="3" s="1"/>
  <c r="AA41" i="3" s="1"/>
  <c r="W39" i="3"/>
  <c r="U39" i="3"/>
  <c r="Q43" i="3"/>
  <c r="S43" i="3" s="1"/>
  <c r="Z43" i="3" s="1"/>
  <c r="W43" i="3"/>
  <c r="X43" i="3" s="1"/>
  <c r="X39" i="3" l="1"/>
  <c r="AA39" i="3" s="1"/>
  <c r="D39" i="3" s="1"/>
  <c r="AA43" i="3"/>
  <c r="D43" i="3" s="1"/>
  <c r="AB43" i="3"/>
  <c r="AB37" i="3"/>
  <c r="AB41" i="3"/>
  <c r="D41" i="3"/>
  <c r="AB39" i="3"/>
  <c r="L35" i="3" l="1"/>
  <c r="L33" i="3"/>
  <c r="L31" i="3"/>
  <c r="F35" i="3"/>
  <c r="P35" i="3" s="1"/>
  <c r="F33" i="3"/>
  <c r="P33" i="3" s="1"/>
  <c r="F31" i="3"/>
  <c r="P31" i="3" s="1"/>
  <c r="G33" i="3" l="1"/>
  <c r="O33" i="3" s="1"/>
  <c r="G31" i="3"/>
  <c r="O31" i="3" s="1"/>
  <c r="G35" i="3"/>
  <c r="O35" i="3" s="1"/>
  <c r="U31" i="3" l="1"/>
  <c r="W31" i="3"/>
  <c r="Q31" i="3"/>
  <c r="U33" i="3"/>
  <c r="Q33" i="3"/>
  <c r="S33" i="3" s="1"/>
  <c r="Z33" i="3" s="1"/>
  <c r="W33" i="3"/>
  <c r="U35" i="3"/>
  <c r="W35" i="3"/>
  <c r="Q35" i="3"/>
  <c r="S31" i="3" l="1"/>
  <c r="Z31" i="3" s="1"/>
  <c r="X35" i="3"/>
  <c r="X31" i="3"/>
  <c r="X33" i="3"/>
  <c r="AB33" i="3" s="1"/>
  <c r="S35" i="3"/>
  <c r="Z35" i="3" s="1"/>
  <c r="AA31" i="3" l="1"/>
  <c r="D31" i="3" s="1"/>
  <c r="AA35" i="3"/>
  <c r="D35" i="3" s="1"/>
  <c r="AA33" i="3"/>
  <c r="D33" i="3" s="1"/>
  <c r="AB35" i="3"/>
  <c r="AB31" i="3"/>
  <c r="L29" i="3" l="1"/>
  <c r="L27" i="3"/>
  <c r="L25" i="3"/>
  <c r="L23" i="3"/>
  <c r="L21" i="3"/>
  <c r="L19" i="3"/>
  <c r="L17" i="3"/>
  <c r="L15" i="3"/>
  <c r="L13" i="3"/>
  <c r="F29" i="3" l="1"/>
  <c r="P29" i="3" s="1"/>
  <c r="F27" i="3"/>
  <c r="P27" i="3" s="1"/>
  <c r="G29" i="3" l="1"/>
  <c r="O29" i="3" s="1"/>
  <c r="W29" i="3" s="1"/>
  <c r="G27" i="3"/>
  <c r="O27" i="3" s="1"/>
  <c r="F25" i="3"/>
  <c r="G25" i="3" s="1"/>
  <c r="O25" i="3" s="1"/>
  <c r="W25" i="3" s="1"/>
  <c r="F23" i="3"/>
  <c r="F21" i="3"/>
  <c r="F19" i="3"/>
  <c r="F17" i="3"/>
  <c r="F15" i="3"/>
  <c r="F13" i="3"/>
  <c r="Q29" i="3" l="1"/>
  <c r="U29" i="3"/>
  <c r="X29" i="3" s="1"/>
  <c r="U27" i="3"/>
  <c r="W27" i="3"/>
  <c r="Q27" i="3"/>
  <c r="P25" i="3"/>
  <c r="Q25" i="3" s="1"/>
  <c r="U25" i="3"/>
  <c r="X25" i="3" s="1"/>
  <c r="X27" i="3" l="1"/>
  <c r="S29" i="3"/>
  <c r="Z29" i="3" s="1"/>
  <c r="S27" i="3"/>
  <c r="Z27" i="3" s="1"/>
  <c r="S25" i="3"/>
  <c r="Z25" i="3" s="1"/>
  <c r="AA25" i="3" s="1"/>
  <c r="D25" i="3" s="1"/>
  <c r="AA29" i="3" l="1"/>
  <c r="D29" i="3" s="1"/>
  <c r="AB29" i="3"/>
  <c r="AA27" i="3"/>
  <c r="D27" i="3" s="1"/>
  <c r="AB27" i="3"/>
  <c r="AB25" i="3"/>
  <c r="G23" i="3" l="1"/>
  <c r="O23" i="3" s="1"/>
  <c r="G21" i="3"/>
  <c r="O21" i="3" s="1"/>
  <c r="G19" i="3"/>
  <c r="O19" i="3" s="1"/>
  <c r="G17" i="3"/>
  <c r="O17" i="3" s="1"/>
  <c r="G15" i="3"/>
  <c r="O15" i="3" s="1"/>
  <c r="G13" i="3"/>
  <c r="O13" i="3" s="1"/>
  <c r="P23" i="3"/>
  <c r="P21" i="3"/>
  <c r="P19" i="3"/>
  <c r="P17" i="3"/>
  <c r="P15" i="3"/>
  <c r="P13" i="3"/>
  <c r="Q17" i="3" l="1"/>
  <c r="S17" i="3" s="1"/>
  <c r="Z17" i="3" s="1"/>
  <c r="Q21" i="3"/>
  <c r="W21" i="3"/>
  <c r="Q19" i="3"/>
  <c r="W19" i="3"/>
  <c r="U19" i="3"/>
  <c r="U21" i="3"/>
  <c r="W17" i="3"/>
  <c r="U17" i="3"/>
  <c r="W13" i="3"/>
  <c r="Q13" i="3"/>
  <c r="U13" i="3"/>
  <c r="Q15" i="3"/>
  <c r="U15" i="3"/>
  <c r="Q23" i="3"/>
  <c r="W23" i="3"/>
  <c r="U23" i="3"/>
  <c r="W15" i="3"/>
  <c r="X21" i="3" l="1"/>
  <c r="S21" i="3"/>
  <c r="Z21" i="3" s="1"/>
  <c r="S19" i="3"/>
  <c r="Z19" i="3" s="1"/>
  <c r="X19" i="3"/>
  <c r="X17" i="3"/>
  <c r="AA17" i="3" s="1"/>
  <c r="X23" i="3"/>
  <c r="X15" i="3"/>
  <c r="X13" i="3"/>
  <c r="S23" i="3"/>
  <c r="Z23" i="3" s="1"/>
  <c r="S15" i="3"/>
  <c r="Z15" i="3" s="1"/>
  <c r="S13" i="3"/>
  <c r="Z13" i="3" s="1"/>
  <c r="D17" i="3" l="1"/>
  <c r="AB13" i="3"/>
  <c r="AA13" i="3"/>
  <c r="D13" i="3" s="1"/>
  <c r="AA19" i="3"/>
  <c r="D19" i="3" s="1"/>
  <c r="AB19" i="3"/>
  <c r="AA21" i="3"/>
  <c r="D21" i="3" s="1"/>
  <c r="AB21" i="3"/>
  <c r="AB17" i="3"/>
  <c r="AA23" i="3"/>
  <c r="D23" i="3" s="1"/>
  <c r="AB23" i="3"/>
  <c r="AA15" i="3"/>
  <c r="AB15" i="3"/>
  <c r="D15" i="3" l="1"/>
</calcChain>
</file>

<file path=xl/sharedStrings.xml><?xml version="1.0" encoding="utf-8"?>
<sst xmlns="http://schemas.openxmlformats.org/spreadsheetml/2006/main" count="107" uniqueCount="83">
  <si>
    <t>Module</t>
  </si>
  <si>
    <t>P peak</t>
  </si>
  <si>
    <t>P avg ON</t>
  </si>
  <si>
    <t>SKKT42</t>
  </si>
  <si>
    <t>SKKT92</t>
  </si>
  <si>
    <t>[W]</t>
  </si>
  <si>
    <t>[°C]</t>
  </si>
  <si>
    <t>[K]</t>
  </si>
  <si>
    <t>[K/W]</t>
  </si>
  <si>
    <t>Nominal current</t>
  </si>
  <si>
    <t>Start current</t>
  </si>
  <si>
    <r>
      <t>V</t>
    </r>
    <r>
      <rPr>
        <b/>
        <vertAlign val="subscript"/>
        <sz val="11"/>
        <color indexed="8"/>
        <rFont val="Calibri"/>
        <family val="2"/>
      </rPr>
      <t>T</t>
    </r>
  </si>
  <si>
    <r>
      <t>r</t>
    </r>
    <r>
      <rPr>
        <b/>
        <vertAlign val="subscript"/>
        <sz val="11"/>
        <color indexed="8"/>
        <rFont val="Calibri"/>
        <family val="2"/>
      </rPr>
      <t>T</t>
    </r>
  </si>
  <si>
    <t>[V]</t>
  </si>
  <si>
    <r>
      <t>[m</t>
    </r>
    <r>
      <rPr>
        <sz val="11"/>
        <color indexed="8"/>
        <rFont val="Calibri"/>
        <family val="2"/>
      </rPr>
      <t>Ω]</t>
    </r>
  </si>
  <si>
    <t>[A]</t>
  </si>
  <si>
    <r>
      <t>T</t>
    </r>
    <r>
      <rPr>
        <b/>
        <vertAlign val="subscript"/>
        <sz val="11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max</t>
    </r>
  </si>
  <si>
    <t>Cycle time tc(s)</t>
  </si>
  <si>
    <t>Start</t>
  </si>
  <si>
    <t>Run</t>
  </si>
  <si>
    <t xml:space="preserve">P avg </t>
  </si>
  <si>
    <t>Total</t>
  </si>
  <si>
    <r>
      <t>T</t>
    </r>
    <r>
      <rPr>
        <b/>
        <vertAlign val="sub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>max</t>
    </r>
  </si>
  <si>
    <t>Thyristor</t>
  </si>
  <si>
    <t>Case</t>
  </si>
  <si>
    <t>Conditions</t>
  </si>
  <si>
    <r>
      <t>Rth</t>
    </r>
    <r>
      <rPr>
        <b/>
        <vertAlign val="subscript"/>
        <sz val="11"/>
        <color indexed="8"/>
        <rFont val="Calibri"/>
        <family val="2"/>
      </rPr>
      <t xml:space="preserve">j-s </t>
    </r>
  </si>
  <si>
    <r>
      <t>ΔT</t>
    </r>
    <r>
      <rPr>
        <b/>
        <vertAlign val="subscript"/>
        <sz val="11"/>
        <color indexed="8"/>
        <rFont val="Calibri"/>
        <family val="2"/>
      </rPr>
      <t>j-s</t>
    </r>
  </si>
  <si>
    <r>
      <t>Zth</t>
    </r>
    <r>
      <rPr>
        <b/>
        <vertAlign val="subscript"/>
        <sz val="11"/>
        <color indexed="8"/>
        <rFont val="Calibri"/>
        <family val="2"/>
      </rPr>
      <t xml:space="preserve">j-s </t>
    </r>
    <r>
      <rPr>
        <b/>
        <sz val="11"/>
        <color indexed="8"/>
        <rFont val="Calibri"/>
        <family val="2"/>
      </rPr>
      <t>(ts)</t>
    </r>
  </si>
  <si>
    <r>
      <t>ΔT</t>
    </r>
    <r>
      <rPr>
        <b/>
        <vertAlign val="subscript"/>
        <sz val="11"/>
        <color indexed="8"/>
        <rFont val="Calibri"/>
        <family val="2"/>
      </rPr>
      <t>j-s</t>
    </r>
    <r>
      <rPr>
        <b/>
        <sz val="11"/>
        <color indexed="8"/>
        <rFont val="Calibri"/>
        <family val="2"/>
      </rPr>
      <t>(ts)</t>
    </r>
  </si>
  <si>
    <r>
      <t>Zth</t>
    </r>
    <r>
      <rPr>
        <b/>
        <vertAlign val="subscript"/>
        <sz val="11"/>
        <color indexed="8"/>
        <rFont val="Calibri"/>
        <family val="2"/>
      </rPr>
      <t xml:space="preserve">s-a </t>
    </r>
    <r>
      <rPr>
        <b/>
        <sz val="11"/>
        <color indexed="8"/>
        <rFont val="Calibri"/>
        <family val="2"/>
      </rPr>
      <t>(ts)</t>
    </r>
  </si>
  <si>
    <r>
      <t>ΔT</t>
    </r>
    <r>
      <rPr>
        <b/>
        <vertAlign val="subscript"/>
        <sz val="11"/>
        <color indexed="8"/>
        <rFont val="Calibri"/>
        <family val="2"/>
      </rPr>
      <t>s-a</t>
    </r>
    <r>
      <rPr>
        <b/>
        <sz val="11"/>
        <color indexed="8"/>
        <rFont val="Calibri"/>
        <family val="2"/>
      </rPr>
      <t>(ts)</t>
    </r>
  </si>
  <si>
    <r>
      <t>ΔT</t>
    </r>
    <r>
      <rPr>
        <b/>
        <vertAlign val="subscript"/>
        <sz val="11"/>
        <color indexed="8"/>
        <rFont val="Calibri"/>
        <family val="2"/>
      </rPr>
      <t>j-a</t>
    </r>
    <r>
      <rPr>
        <b/>
        <sz val="11"/>
        <color indexed="8"/>
        <rFont val="Calibri"/>
        <family val="2"/>
      </rPr>
      <t>(ts)</t>
    </r>
  </si>
  <si>
    <r>
      <t>Rth</t>
    </r>
    <r>
      <rPr>
        <b/>
        <vertAlign val="subscript"/>
        <sz val="11"/>
        <color indexed="8"/>
        <rFont val="Calibri"/>
        <family val="2"/>
      </rPr>
      <t xml:space="preserve">s-a </t>
    </r>
  </si>
  <si>
    <r>
      <t>ΔT</t>
    </r>
    <r>
      <rPr>
        <b/>
        <vertAlign val="subscript"/>
        <sz val="11"/>
        <color indexed="8"/>
        <rFont val="Calibri"/>
        <family val="2"/>
      </rPr>
      <t>j-a</t>
    </r>
  </si>
  <si>
    <t>SKKT122</t>
  </si>
  <si>
    <t>MCC132</t>
  </si>
  <si>
    <t>MCC162</t>
  </si>
  <si>
    <r>
      <t>T</t>
    </r>
    <r>
      <rPr>
        <b/>
        <vertAlign val="subscript"/>
        <sz val="11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m</t>
    </r>
  </si>
  <si>
    <t>Number of starts per hour:</t>
  </si>
  <si>
    <t>TSA thermal margin</t>
  </si>
  <si>
    <t>Motor current In (Amp):</t>
  </si>
  <si>
    <t>Input data</t>
  </si>
  <si>
    <t>TSA frame size</t>
  </si>
  <si>
    <t>Size 1</t>
  </si>
  <si>
    <t>Size 2</t>
  </si>
  <si>
    <t xml:space="preserve">Emotron TSA softstarter calculation tool </t>
  </si>
  <si>
    <t>Starting current, % of In:</t>
  </si>
  <si>
    <t>Kolumnerna F-AB kommer att döljas! //Pär</t>
  </si>
  <si>
    <t>Formlerna i D14-D30 kommer att döljas! //Pär</t>
  </si>
  <si>
    <t>Min temp:</t>
  </si>
  <si>
    <t>Max temp:</t>
  </si>
  <si>
    <t>SKKT72</t>
  </si>
  <si>
    <t>Size 3</t>
  </si>
  <si>
    <t>TSAxx-016</t>
  </si>
  <si>
    <t>TSAxx-022</t>
  </si>
  <si>
    <t>TSAxx-030</t>
  </si>
  <si>
    <t>TSAxx-036</t>
  </si>
  <si>
    <t>TSAxx-042</t>
  </si>
  <si>
    <t>TSAxx-056</t>
  </si>
  <si>
    <t>TSAxx-070</t>
  </si>
  <si>
    <t>TSAxx-085</t>
  </si>
  <si>
    <t>TSAxx-100</t>
  </si>
  <si>
    <t>TSAxx-140</t>
  </si>
  <si>
    <t>TSAxx-170</t>
  </si>
  <si>
    <t>TSAxx-200</t>
  </si>
  <si>
    <t>SKKT273</t>
  </si>
  <si>
    <t>SKKT323</t>
  </si>
  <si>
    <t>Max Tj for sizes 3&amp;4 set to 150 C for this temp calc to match lab test and Semikron results</t>
  </si>
  <si>
    <t>TSAxx-240</t>
  </si>
  <si>
    <t>TSAxx-300</t>
  </si>
  <si>
    <t>TSAxx-360</t>
  </si>
  <si>
    <t>TSAxx-450</t>
  </si>
  <si>
    <t>SKKT570</t>
  </si>
  <si>
    <t>Max Tj increased from 125 to 135 C for sizes 1&amp;2. Semikron opens for max 150 C if intermittant duty, per Göran. /Pär Ö</t>
  </si>
  <si>
    <t>Size 4</t>
  </si>
  <si>
    <t xml:space="preserve"> TSA model</t>
  </si>
  <si>
    <r>
      <t xml:space="preserve">Max ambient temp, range 30-55 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>C:</t>
    </r>
  </si>
  <si>
    <t>Size OK</t>
  </si>
  <si>
    <t>Size not OK</t>
  </si>
  <si>
    <t>Ver 1.0    2014-07-17</t>
  </si>
  <si>
    <r>
      <t xml:space="preserve">Starting time (sec), </t>
    </r>
    <r>
      <rPr>
        <b/>
        <sz val="12"/>
        <color theme="1"/>
        <rFont val="Calibri"/>
        <family val="2"/>
        <scheme val="minor"/>
      </rPr>
      <t>(Size1 nom=15s, Size2-4 nom=30s)</t>
    </r>
    <r>
      <rPr>
        <sz val="12"/>
        <color theme="1"/>
        <rFont val="Calibri"/>
        <family val="2"/>
        <scheme val="minor"/>
      </rPr>
      <t>:</t>
    </r>
  </si>
  <si>
    <t>Project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</si>
</sst>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FFD1"/>
        <bgColor indexed="64"/>
      </patternFill>
    </fill>
    <fill>
      <patternFill patternType="solid">
        <fgColor rgb="FFFFBDBD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/>
    <xf numFmtId="2" fontId="0" fillId="3" borderId="0" xfId="0" applyNumberFormat="1" applyFill="1"/>
    <xf numFmtId="2" fontId="0" fillId="0" borderId="0" xfId="0" applyNumberFormat="1" applyFill="1"/>
    <xf numFmtId="2" fontId="0" fillId="4" borderId="9" xfId="0" applyNumberFormat="1" applyFill="1" applyBorder="1"/>
    <xf numFmtId="2" fontId="0" fillId="4" borderId="13" xfId="0" applyNumberFormat="1" applyFill="1" applyBorder="1"/>
    <xf numFmtId="2" fontId="4" fillId="4" borderId="13" xfId="0" applyNumberFormat="1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/>
    </xf>
    <xf numFmtId="0" fontId="0" fillId="5" borderId="9" xfId="0" applyFill="1" applyBorder="1"/>
    <xf numFmtId="2" fontId="4" fillId="5" borderId="13" xfId="0" applyNumberFormat="1" applyFont="1" applyFill="1" applyBorder="1" applyAlignment="1">
      <alignment horizontal="center"/>
    </xf>
    <xf numFmtId="2" fontId="0" fillId="5" borderId="13" xfId="0" applyNumberFormat="1" applyFill="1" applyBorder="1"/>
    <xf numFmtId="2" fontId="4" fillId="5" borderId="11" xfId="0" applyNumberFormat="1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3" xfId="0" applyFill="1" applyBorder="1"/>
    <xf numFmtId="0" fontId="4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5" borderId="4" xfId="0" applyFill="1" applyBorder="1"/>
    <xf numFmtId="2" fontId="4" fillId="0" borderId="0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2" fontId="4" fillId="5" borderId="10" xfId="0" applyNumberFormat="1" applyFont="1" applyFill="1" applyBorder="1"/>
    <xf numFmtId="2" fontId="4" fillId="4" borderId="11" xfId="0" applyNumberFormat="1" applyFont="1" applyFill="1" applyBorder="1"/>
    <xf numFmtId="2" fontId="0" fillId="4" borderId="11" xfId="0" applyNumberFormat="1" applyFill="1" applyBorder="1"/>
    <xf numFmtId="0" fontId="0" fillId="3" borderId="0" xfId="0" applyFill="1"/>
    <xf numFmtId="0" fontId="0" fillId="0" borderId="5" xfId="0" applyFill="1" applyBorder="1"/>
    <xf numFmtId="0" fontId="0" fillId="0" borderId="0" xfId="0" applyFill="1" applyBorder="1"/>
    <xf numFmtId="0" fontId="0" fillId="6" borderId="0" xfId="0" applyFill="1" applyBorder="1"/>
    <xf numFmtId="0" fontId="4" fillId="2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5" fontId="0" fillId="0" borderId="0" xfId="0" applyNumberFormat="1"/>
    <xf numFmtId="2" fontId="0" fillId="0" borderId="0" xfId="0" applyNumberFormat="1" applyFill="1" applyAlignment="1">
      <alignment wrapText="1"/>
    </xf>
    <xf numFmtId="0" fontId="4" fillId="2" borderId="4" xfId="0" applyFont="1" applyFill="1" applyBorder="1" applyAlignment="1">
      <alignment horizontal="center"/>
    </xf>
    <xf numFmtId="164" fontId="4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164" fontId="0" fillId="0" borderId="0" xfId="0" applyNumberFormat="1" applyFill="1"/>
    <xf numFmtId="164" fontId="4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7" xfId="0" applyBorder="1"/>
    <xf numFmtId="0" fontId="0" fillId="0" borderId="7" xfId="0" applyFill="1" applyBorder="1"/>
    <xf numFmtId="0" fontId="0" fillId="3" borderId="7" xfId="0" applyFill="1" applyBorder="1"/>
    <xf numFmtId="2" fontId="0" fillId="0" borderId="7" xfId="0" applyNumberFormat="1" applyFill="1" applyBorder="1"/>
    <xf numFmtId="2" fontId="0" fillId="0" borderId="7" xfId="0" applyNumberFormat="1" applyBorder="1"/>
    <xf numFmtId="164" fontId="0" fillId="0" borderId="7" xfId="0" applyNumberFormat="1" applyFill="1" applyBorder="1"/>
    <xf numFmtId="164" fontId="0" fillId="0" borderId="7" xfId="0" applyNumberFormat="1" applyBorder="1"/>
    <xf numFmtId="164" fontId="4" fillId="0" borderId="7" xfId="0" applyNumberFormat="1" applyFont="1" applyFill="1" applyBorder="1" applyAlignment="1">
      <alignment horizontal="center"/>
    </xf>
    <xf numFmtId="2" fontId="0" fillId="3" borderId="7" xfId="0" applyNumberFormat="1" applyFill="1" applyBorder="1"/>
    <xf numFmtId="166" fontId="0" fillId="0" borderId="7" xfId="0" applyNumberFormat="1" applyBorder="1"/>
    <xf numFmtId="2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Border="1"/>
    <xf numFmtId="0" fontId="8" fillId="3" borderId="7" xfId="0" applyFont="1" applyFill="1" applyBorder="1"/>
    <xf numFmtId="0" fontId="10" fillId="7" borderId="0" xfId="0" applyFont="1" applyFill="1" applyBorder="1" applyAlignment="1"/>
    <xf numFmtId="0" fontId="11" fillId="0" borderId="15" xfId="0" applyFont="1" applyBorder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2" fontId="11" fillId="9" borderId="10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2" fontId="11" fillId="0" borderId="3" xfId="0" applyNumberFormat="1" applyFont="1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9" fillId="0" borderId="0" xfId="0" applyFont="1"/>
    <xf numFmtId="0" fontId="0" fillId="7" borderId="4" xfId="0" applyFill="1" applyBorder="1" applyAlignment="1"/>
    <xf numFmtId="0" fontId="10" fillId="1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2" borderId="15" xfId="0" applyFont="1" applyFill="1" applyBorder="1" applyAlignment="1" applyProtection="1">
      <alignment horizontal="center"/>
      <protection locked="0"/>
    </xf>
    <xf numFmtId="9" fontId="10" fillId="2" borderId="15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 applyProtection="1">
      <alignment vertical="center"/>
      <protection hidden="1"/>
    </xf>
    <xf numFmtId="2" fontId="10" fillId="0" borderId="4" xfId="0" applyNumberFormat="1" applyFont="1" applyBorder="1" applyAlignment="1" applyProtection="1">
      <alignment vertical="center"/>
      <protection hidden="1"/>
    </xf>
    <xf numFmtId="165" fontId="10" fillId="0" borderId="8" xfId="0" applyNumberFormat="1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7" borderId="0" xfId="0" applyFont="1" applyFill="1" applyBorder="1" applyAlignment="1"/>
    <xf numFmtId="0" fontId="10" fillId="7" borderId="4" xfId="0" applyFont="1" applyFill="1" applyBorder="1" applyAlignment="1"/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BDBD"/>
      <color rgb="FFD6FFD1"/>
      <color rgb="FFC8FFC1"/>
      <color rgb="FFBDFFA3"/>
      <color rgb="FF6EFE6E"/>
      <color rgb="FF045400"/>
      <color rgb="FFB4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topLeftCell="A2" zoomScale="90" zoomScaleNormal="90" workbookViewId="0">
      <selection activeCell="D5" sqref="D5"/>
    </sheetView>
  </sheetViews>
  <sheetFormatPr defaultRowHeight="15" x14ac:dyDescent="0.25"/>
  <cols>
    <col min="2" max="2" width="16" customWidth="1"/>
    <col min="3" max="3" width="35.85546875" customWidth="1"/>
    <col min="4" max="4" width="15" customWidth="1"/>
    <col min="5" max="5" width="10.85546875" customWidth="1"/>
    <col min="6" max="6" width="15.5703125" hidden="1" customWidth="1"/>
    <col min="7" max="7" width="12" hidden="1" customWidth="1"/>
    <col min="8" max="8" width="5.7109375" hidden="1" customWidth="1"/>
    <col min="9" max="9" width="9.85546875" hidden="1" customWidth="1"/>
    <col min="10" max="14" width="9.140625" hidden="1" customWidth="1"/>
    <col min="15" max="28" width="9.140625" style="4" hidden="1" customWidth="1"/>
    <col min="29" max="30" width="10" style="4" bestFit="1" customWidth="1"/>
    <col min="31" max="33" width="10" bestFit="1" customWidth="1"/>
  </cols>
  <sheetData>
    <row r="1" spans="1:35" x14ac:dyDescent="0.25">
      <c r="A1" s="88"/>
      <c r="B1" s="88"/>
      <c r="C1" s="88"/>
      <c r="D1" s="88"/>
    </row>
    <row r="2" spans="1:35" ht="23.25" x14ac:dyDescent="0.35">
      <c r="A2" s="88"/>
      <c r="B2" s="90" t="s">
        <v>46</v>
      </c>
      <c r="C2" s="88"/>
      <c r="D2" s="88"/>
      <c r="F2" s="63" t="s">
        <v>48</v>
      </c>
    </row>
    <row r="3" spans="1:35" x14ac:dyDescent="0.25">
      <c r="A3" s="88"/>
      <c r="B3" s="88" t="s">
        <v>80</v>
      </c>
      <c r="C3" s="88"/>
      <c r="D3" s="88"/>
      <c r="F3" s="64" t="s">
        <v>49</v>
      </c>
    </row>
    <row r="4" spans="1:35" ht="15.75" x14ac:dyDescent="0.25">
      <c r="A4" s="88"/>
      <c r="B4" s="88"/>
      <c r="C4" s="88"/>
      <c r="D4" s="82" t="s">
        <v>42</v>
      </c>
      <c r="F4" s="3"/>
      <c r="M4" t="s">
        <v>74</v>
      </c>
    </row>
    <row r="5" spans="1:35" ht="15.75" x14ac:dyDescent="0.25">
      <c r="A5" s="88"/>
      <c r="B5" s="111" t="s">
        <v>41</v>
      </c>
      <c r="C5" s="112"/>
      <c r="D5" s="95">
        <v>30</v>
      </c>
      <c r="F5" s="3" t="s">
        <v>50</v>
      </c>
      <c r="G5">
        <v>30</v>
      </c>
      <c r="M5" t="s">
        <v>68</v>
      </c>
    </row>
    <row r="6" spans="1:35" ht="15.75" x14ac:dyDescent="0.25">
      <c r="A6" s="88"/>
      <c r="B6" s="111" t="s">
        <v>47</v>
      </c>
      <c r="C6" s="112"/>
      <c r="D6" s="96">
        <v>3</v>
      </c>
      <c r="E6" s="52"/>
      <c r="F6" s="52" t="s">
        <v>51</v>
      </c>
      <c r="G6">
        <v>55</v>
      </c>
      <c r="T6" s="4">
        <v>0</v>
      </c>
      <c r="V6" s="1"/>
      <c r="Y6" s="42"/>
    </row>
    <row r="7" spans="1:35" ht="15.75" x14ac:dyDescent="0.25">
      <c r="A7" s="88"/>
      <c r="B7" s="81" t="s">
        <v>81</v>
      </c>
      <c r="C7" s="91"/>
      <c r="D7" s="95">
        <v>15</v>
      </c>
      <c r="E7" s="52"/>
      <c r="F7" s="53" t="s">
        <v>17</v>
      </c>
      <c r="G7" s="53">
        <f>3600/D8</f>
        <v>360</v>
      </c>
      <c r="I7" s="6"/>
      <c r="J7" s="38"/>
      <c r="K7" s="39" t="s">
        <v>25</v>
      </c>
      <c r="L7" s="38"/>
      <c r="M7" s="40"/>
      <c r="N7" s="25"/>
      <c r="O7" s="26"/>
      <c r="P7" s="27"/>
      <c r="Q7" s="26"/>
      <c r="R7" s="26" t="s">
        <v>23</v>
      </c>
      <c r="S7" s="35"/>
      <c r="T7" s="27"/>
      <c r="U7" s="27"/>
      <c r="V7" s="17"/>
      <c r="W7" s="18"/>
      <c r="X7" s="18"/>
      <c r="Y7" s="19" t="s">
        <v>21</v>
      </c>
      <c r="Z7" s="19"/>
      <c r="AA7" s="19"/>
      <c r="AB7" s="20"/>
      <c r="AF7" s="4"/>
      <c r="AG7" s="4"/>
    </row>
    <row r="8" spans="1:35" ht="15.75" x14ac:dyDescent="0.25">
      <c r="A8" s="88"/>
      <c r="B8" s="111" t="s">
        <v>39</v>
      </c>
      <c r="C8" s="112"/>
      <c r="D8" s="95">
        <v>10</v>
      </c>
      <c r="E8" s="52"/>
      <c r="I8" s="7"/>
      <c r="J8" s="7"/>
      <c r="K8" s="7"/>
      <c r="L8" s="7"/>
      <c r="M8" s="7"/>
      <c r="N8" s="41"/>
      <c r="O8" s="28" t="s">
        <v>18</v>
      </c>
      <c r="P8" s="29" t="s">
        <v>19</v>
      </c>
      <c r="Q8" s="30" t="s">
        <v>21</v>
      </c>
      <c r="R8" s="47"/>
      <c r="S8" s="47"/>
      <c r="T8" s="47"/>
      <c r="U8" s="47"/>
      <c r="V8" s="48"/>
      <c r="W8" s="48"/>
      <c r="X8" s="48"/>
      <c r="Y8" s="24"/>
      <c r="Z8" s="48"/>
      <c r="AA8" s="49"/>
      <c r="AB8" s="49"/>
      <c r="AF8" s="4"/>
      <c r="AG8" s="4"/>
      <c r="AH8" s="14"/>
    </row>
    <row r="9" spans="1:35" ht="18" x14ac:dyDescent="0.35">
      <c r="A9" s="88"/>
      <c r="B9" s="111" t="s">
        <v>77</v>
      </c>
      <c r="C9" s="112"/>
      <c r="D9" s="95">
        <v>40</v>
      </c>
      <c r="E9" s="51"/>
      <c r="F9" s="54" t="s">
        <v>9</v>
      </c>
      <c r="G9" s="10" t="s">
        <v>10</v>
      </c>
      <c r="H9" s="10" t="s">
        <v>24</v>
      </c>
      <c r="I9" s="8" t="s">
        <v>0</v>
      </c>
      <c r="J9" s="8" t="s">
        <v>11</v>
      </c>
      <c r="K9" s="8" t="s">
        <v>12</v>
      </c>
      <c r="L9" s="8" t="s">
        <v>22</v>
      </c>
      <c r="M9" s="8" t="s">
        <v>16</v>
      </c>
      <c r="N9" s="36" t="s">
        <v>1</v>
      </c>
      <c r="O9" s="31" t="s">
        <v>2</v>
      </c>
      <c r="P9" s="31" t="s">
        <v>20</v>
      </c>
      <c r="Q9" s="32" t="s">
        <v>20</v>
      </c>
      <c r="R9" s="28" t="s">
        <v>26</v>
      </c>
      <c r="S9" s="43" t="s">
        <v>27</v>
      </c>
      <c r="T9" s="28" t="s">
        <v>28</v>
      </c>
      <c r="U9" s="43" t="s">
        <v>29</v>
      </c>
      <c r="V9" s="24" t="s">
        <v>30</v>
      </c>
      <c r="W9" s="45" t="s">
        <v>31</v>
      </c>
      <c r="X9" s="45" t="s">
        <v>32</v>
      </c>
      <c r="Y9" s="24" t="s">
        <v>33</v>
      </c>
      <c r="Z9" s="45" t="s">
        <v>34</v>
      </c>
      <c r="AA9" s="21" t="s">
        <v>16</v>
      </c>
      <c r="AB9" s="21" t="s">
        <v>38</v>
      </c>
      <c r="AC9" s="5"/>
      <c r="AD9" s="5"/>
      <c r="AE9" s="5"/>
      <c r="AF9" s="5"/>
      <c r="AG9" s="5"/>
      <c r="AH9" s="5"/>
      <c r="AI9" s="11"/>
    </row>
    <row r="10" spans="1:35" x14ac:dyDescent="0.25">
      <c r="A10" s="88"/>
      <c r="B10" s="88"/>
      <c r="C10" s="89"/>
      <c r="D10" s="89"/>
      <c r="E10" s="52"/>
      <c r="F10" s="58"/>
      <c r="G10" s="8"/>
      <c r="H10" s="8"/>
      <c r="I10" s="8"/>
      <c r="J10" s="8"/>
      <c r="K10" s="8"/>
      <c r="L10" s="8"/>
      <c r="M10" s="8"/>
      <c r="N10" s="36"/>
      <c r="O10" s="31"/>
      <c r="P10" s="31"/>
      <c r="Q10" s="32"/>
      <c r="R10" s="28"/>
      <c r="S10" s="43"/>
      <c r="T10" s="28"/>
      <c r="U10" s="43"/>
      <c r="V10" s="24"/>
      <c r="W10" s="45"/>
      <c r="X10" s="45"/>
      <c r="Y10" s="24"/>
      <c r="Z10" s="45"/>
      <c r="AA10" s="21"/>
      <c r="AB10" s="21"/>
      <c r="AC10" s="5"/>
      <c r="AD10" s="5"/>
      <c r="AE10" s="5"/>
      <c r="AF10" s="5"/>
      <c r="AG10" s="5"/>
      <c r="AH10" s="5"/>
      <c r="AI10" s="11"/>
    </row>
    <row r="11" spans="1:35" ht="31.5" x14ac:dyDescent="0.25">
      <c r="A11" s="88"/>
      <c r="B11" s="83" t="s">
        <v>43</v>
      </c>
      <c r="C11" s="84" t="s">
        <v>76</v>
      </c>
      <c r="D11" s="85" t="s">
        <v>40</v>
      </c>
      <c r="E11" s="57"/>
      <c r="F11" s="55" t="s">
        <v>15</v>
      </c>
      <c r="G11" s="9" t="s">
        <v>15</v>
      </c>
      <c r="H11" s="9"/>
      <c r="I11" s="9"/>
      <c r="J11" s="9" t="s">
        <v>13</v>
      </c>
      <c r="K11" s="9" t="s">
        <v>14</v>
      </c>
      <c r="L11" s="9" t="s">
        <v>6</v>
      </c>
      <c r="M11" s="9" t="s">
        <v>6</v>
      </c>
      <c r="N11" s="37" t="s">
        <v>5</v>
      </c>
      <c r="O11" s="33" t="s">
        <v>5</v>
      </c>
      <c r="P11" s="33" t="s">
        <v>5</v>
      </c>
      <c r="Q11" s="34" t="s">
        <v>5</v>
      </c>
      <c r="R11" s="33" t="s">
        <v>8</v>
      </c>
      <c r="S11" s="44" t="s">
        <v>7</v>
      </c>
      <c r="T11" s="33" t="s">
        <v>8</v>
      </c>
      <c r="U11" s="44" t="s">
        <v>7</v>
      </c>
      <c r="V11" s="23" t="s">
        <v>8</v>
      </c>
      <c r="W11" s="46" t="s">
        <v>7</v>
      </c>
      <c r="X11" s="46" t="s">
        <v>7</v>
      </c>
      <c r="Y11" s="23" t="s">
        <v>8</v>
      </c>
      <c r="Z11" s="46" t="s">
        <v>7</v>
      </c>
      <c r="AA11" s="22" t="s">
        <v>6</v>
      </c>
      <c r="AB11" s="22" t="s">
        <v>6</v>
      </c>
      <c r="AC11" s="12"/>
      <c r="AD11" s="12"/>
      <c r="AE11" s="12"/>
      <c r="AF11" s="12"/>
      <c r="AG11" s="12"/>
      <c r="AH11" s="12"/>
      <c r="AI11" s="13"/>
    </row>
    <row r="12" spans="1:35" ht="12" customHeight="1" x14ac:dyDescent="0.25">
      <c r="A12" s="88"/>
      <c r="B12" s="108" t="s">
        <v>44</v>
      </c>
      <c r="C12" s="86"/>
      <c r="D12" s="87"/>
      <c r="E12" s="57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42"/>
      <c r="T12" s="62"/>
      <c r="U12" s="42"/>
      <c r="V12" s="62"/>
      <c r="W12" s="42"/>
      <c r="X12" s="42"/>
      <c r="Y12" s="62"/>
      <c r="Z12" s="42"/>
      <c r="AA12" s="61"/>
      <c r="AB12" s="61"/>
      <c r="AC12" s="12"/>
      <c r="AD12" s="12"/>
      <c r="AE12" s="12"/>
      <c r="AF12" s="12"/>
      <c r="AG12" s="12"/>
      <c r="AH12" s="12"/>
      <c r="AI12" s="13"/>
    </row>
    <row r="13" spans="1:35" ht="12" customHeight="1" x14ac:dyDescent="0.25">
      <c r="A13" s="88"/>
      <c r="B13" s="109"/>
      <c r="C13" s="97" t="s">
        <v>54</v>
      </c>
      <c r="D13" s="101">
        <f>1-AA13/(M13-45)</f>
        <v>-0.17921938059309306</v>
      </c>
      <c r="E13" s="56"/>
      <c r="F13" s="3">
        <f>D5</f>
        <v>30</v>
      </c>
      <c r="G13" s="3">
        <f>$D$6*F13</f>
        <v>90</v>
      </c>
      <c r="H13" s="3"/>
      <c r="I13" s="2" t="s">
        <v>3</v>
      </c>
      <c r="J13" s="3">
        <v>1</v>
      </c>
      <c r="K13" s="3">
        <v>4.5</v>
      </c>
      <c r="L13">
        <f>D9</f>
        <v>40</v>
      </c>
      <c r="M13" s="3">
        <v>135</v>
      </c>
      <c r="N13" s="3"/>
      <c r="O13" s="16">
        <f t="shared" ref="O13" si="0">G13^2/2*K13/1000+G13/1.11/2*J13</f>
        <v>58.765540540540542</v>
      </c>
      <c r="P13" s="4">
        <f>(F13^2/2*K13/1000+F13/1.11/2*J13)*$T$6</f>
        <v>0</v>
      </c>
      <c r="Q13" s="4">
        <f>($D$7*O13+($G$7-$D$7)*P13)/$G$7</f>
        <v>2.4485641891891894</v>
      </c>
      <c r="R13" s="4">
        <v>0.85</v>
      </c>
      <c r="S13" s="4">
        <f t="shared" ref="S13" si="1">Q13*R13</f>
        <v>2.081279560810811</v>
      </c>
      <c r="T13" s="4">
        <v>0.85</v>
      </c>
      <c r="U13" s="4">
        <f t="shared" ref="U13" si="2">O13*T13</f>
        <v>49.950709459459461</v>
      </c>
      <c r="V13" s="1">
        <v>1.602E-2</v>
      </c>
      <c r="W13" s="4">
        <f t="shared" ref="W13" si="3">O13*V13*6</f>
        <v>5.6485437567567569</v>
      </c>
      <c r="X13" s="4">
        <f t="shared" ref="X13" si="4">U13+W13</f>
        <v>55.599253216216219</v>
      </c>
      <c r="Y13" s="42">
        <v>0.73280000000000001</v>
      </c>
      <c r="Z13" s="15">
        <f t="shared" ref="Z13" si="5">6*Q13*Y13+S13</f>
        <v>12.847126587837838</v>
      </c>
      <c r="AA13" s="16">
        <f>Z13+X13*($G$7-$D$7)/$G$7+L13</f>
        <v>106.12974425337838</v>
      </c>
      <c r="AB13" s="4">
        <f>Z13-X13*$D$7/$G$7+L13</f>
        <v>50.530491037162165</v>
      </c>
      <c r="AF13" s="4"/>
      <c r="AG13" s="4"/>
      <c r="AH13" s="4"/>
    </row>
    <row r="14" spans="1:35" ht="12" customHeight="1" x14ac:dyDescent="0.25">
      <c r="A14" s="88"/>
      <c r="B14" s="109"/>
      <c r="C14" s="94"/>
      <c r="D14" s="101"/>
      <c r="E14" s="56"/>
      <c r="F14" s="3"/>
      <c r="G14" s="3"/>
      <c r="H14" s="3"/>
      <c r="I14" s="3"/>
      <c r="J14" s="3"/>
      <c r="K14" s="3"/>
      <c r="L14" s="3"/>
      <c r="M14" s="3"/>
      <c r="N14" s="3"/>
      <c r="O14" s="16"/>
      <c r="V14" s="1"/>
      <c r="Z14" s="16"/>
      <c r="AA14" s="16"/>
      <c r="AF14" s="4"/>
      <c r="AG14" s="4"/>
      <c r="AH14" s="4"/>
    </row>
    <row r="15" spans="1:35" ht="12" customHeight="1" x14ac:dyDescent="0.25">
      <c r="A15" s="88"/>
      <c r="B15" s="109"/>
      <c r="C15" s="97" t="s">
        <v>55</v>
      </c>
      <c r="D15" s="101">
        <f>1-AA15/(M15-30)</f>
        <v>-1.0759469079794082E-2</v>
      </c>
      <c r="E15" s="56"/>
      <c r="F15" s="3">
        <f>D5</f>
        <v>30</v>
      </c>
      <c r="G15" s="3">
        <f>$D$6*F15</f>
        <v>90</v>
      </c>
      <c r="H15" s="3"/>
      <c r="I15" s="2" t="s">
        <v>3</v>
      </c>
      <c r="J15" s="3">
        <v>1</v>
      </c>
      <c r="K15" s="3">
        <v>4.5</v>
      </c>
      <c r="L15">
        <f>D9</f>
        <v>40</v>
      </c>
      <c r="M15" s="3">
        <v>135</v>
      </c>
      <c r="N15" s="3"/>
      <c r="O15" s="16">
        <f t="shared" ref="O15" si="6">G15^2/2*K15/1000+G15/1.11/2*J15</f>
        <v>58.765540540540542</v>
      </c>
      <c r="P15" s="4">
        <f>(F15^2/2*K15/1000+F15/1.11/2*J15)*$T$6</f>
        <v>0</v>
      </c>
      <c r="Q15" s="4">
        <f>($D$7*O15+($G$7-$D$7)*P15)/$G$7</f>
        <v>2.4485641891891894</v>
      </c>
      <c r="R15" s="4">
        <v>0.85</v>
      </c>
      <c r="S15" s="4">
        <f t="shared" ref="S15" si="7">Q15*R15</f>
        <v>2.081279560810811</v>
      </c>
      <c r="T15" s="4">
        <v>0.85</v>
      </c>
      <c r="U15" s="4">
        <f t="shared" ref="U15" si="8">O15*T15</f>
        <v>49.950709459459461</v>
      </c>
      <c r="V15" s="1">
        <v>1.602E-2</v>
      </c>
      <c r="W15" s="4">
        <f t="shared" ref="W15" si="9">O15*V15*6</f>
        <v>5.6485437567567569</v>
      </c>
      <c r="X15" s="4">
        <f t="shared" ref="X15" si="10">U15+W15</f>
        <v>55.599253216216219</v>
      </c>
      <c r="Y15" s="42">
        <v>0.73280000000000001</v>
      </c>
      <c r="Z15" s="15">
        <f t="shared" ref="Z15" si="11">6*Q15*Y15+S15</f>
        <v>12.847126587837838</v>
      </c>
      <c r="AA15" s="16">
        <f>Z15+X15*($G$7-$D$7)/$G$7+L15</f>
        <v>106.12974425337838</v>
      </c>
      <c r="AB15" s="4">
        <f>Z15-X15*$D$7/$G$7+L15</f>
        <v>50.530491037162165</v>
      </c>
      <c r="AF15" s="4"/>
      <c r="AG15" s="4"/>
      <c r="AH15" s="4"/>
    </row>
    <row r="16" spans="1:35" ht="12" customHeight="1" x14ac:dyDescent="0.25">
      <c r="A16" s="88"/>
      <c r="B16" s="109"/>
      <c r="C16" s="94"/>
      <c r="D16" s="102"/>
      <c r="E16" s="4"/>
      <c r="F16" s="3"/>
      <c r="G16" s="3"/>
      <c r="H16" s="3"/>
      <c r="I16" s="3"/>
      <c r="J16" s="3"/>
      <c r="K16" s="3"/>
      <c r="L16" s="3"/>
      <c r="M16" s="3"/>
      <c r="N16" s="3"/>
      <c r="O16" s="16"/>
      <c r="V16" s="1"/>
      <c r="Z16" s="16"/>
      <c r="AA16" s="16"/>
      <c r="AF16" s="4"/>
      <c r="AG16" s="4"/>
      <c r="AH16" s="4"/>
    </row>
    <row r="17" spans="1:34" ht="12" customHeight="1" x14ac:dyDescent="0.25">
      <c r="A17" s="88"/>
      <c r="B17" s="109"/>
      <c r="C17" s="97" t="s">
        <v>56</v>
      </c>
      <c r="D17" s="101">
        <f>1-AA17/(M17-10)</f>
        <v>0.15096204597297302</v>
      </c>
      <c r="E17" s="56"/>
      <c r="F17" s="3">
        <f>D5</f>
        <v>30</v>
      </c>
      <c r="G17" s="3">
        <f>$D$6*F17</f>
        <v>90</v>
      </c>
      <c r="H17" s="3"/>
      <c r="I17" s="50" t="s">
        <v>3</v>
      </c>
      <c r="J17" s="3">
        <v>1</v>
      </c>
      <c r="K17" s="3">
        <v>4.5</v>
      </c>
      <c r="L17" s="3">
        <f>D9</f>
        <v>40</v>
      </c>
      <c r="M17" s="3">
        <v>135</v>
      </c>
      <c r="N17" s="3"/>
      <c r="O17" s="16">
        <f t="shared" ref="O17" si="12">G17^2/2*K17/1000+G17/1.11/2*J17</f>
        <v>58.765540540540542</v>
      </c>
      <c r="P17" s="4">
        <f>(F17^2/2*K17/1000+F17/1.11/2*J17)*$T$6</f>
        <v>0</v>
      </c>
      <c r="Q17" s="4">
        <f>($D$7*O17+($G$7-$D$7)*P17)/$G$7</f>
        <v>2.4485641891891894</v>
      </c>
      <c r="R17" s="4">
        <v>0.85</v>
      </c>
      <c r="S17" s="4">
        <f t="shared" ref="S17" si="13">Q17*R17</f>
        <v>2.081279560810811</v>
      </c>
      <c r="T17" s="4">
        <v>0.85</v>
      </c>
      <c r="U17" s="4">
        <f t="shared" ref="U17" si="14">O17*T17</f>
        <v>49.950709459459461</v>
      </c>
      <c r="V17" s="1">
        <v>1.602E-2</v>
      </c>
      <c r="W17" s="4">
        <f t="shared" ref="W17" si="15">O17*V17*6</f>
        <v>5.6485437567567569</v>
      </c>
      <c r="X17" s="4">
        <f t="shared" ref="X17" si="16">U17+W17</f>
        <v>55.599253216216219</v>
      </c>
      <c r="Y17" s="42">
        <v>0.73280000000000001</v>
      </c>
      <c r="Z17" s="15">
        <f t="shared" ref="Z17" si="17">6*Q17*Y17+S17</f>
        <v>12.847126587837838</v>
      </c>
      <c r="AA17" s="16">
        <f>Z17+X17*($G$7-$D$7)/$G$7+L17</f>
        <v>106.12974425337838</v>
      </c>
      <c r="AB17" s="4">
        <f>Z17-X17*$D$7/$G$7+L17</f>
        <v>50.530491037162165</v>
      </c>
      <c r="AF17" s="4"/>
      <c r="AG17" s="4"/>
      <c r="AH17" s="4"/>
    </row>
    <row r="18" spans="1:34" ht="12" customHeight="1" x14ac:dyDescent="0.25">
      <c r="A18" s="88"/>
      <c r="B18" s="109"/>
      <c r="C18" s="98"/>
      <c r="D18" s="102"/>
      <c r="E18" s="4"/>
      <c r="F18" s="3"/>
      <c r="G18" s="3"/>
      <c r="H18" s="3"/>
      <c r="I18" s="3"/>
      <c r="J18" s="3"/>
      <c r="K18" s="3"/>
      <c r="L18" s="3"/>
      <c r="M18" s="3"/>
      <c r="N18" s="3"/>
      <c r="V18" s="1"/>
      <c r="Z18" s="16"/>
      <c r="AA18" s="16"/>
      <c r="AF18" s="4"/>
      <c r="AG18" s="4"/>
      <c r="AH18" s="4"/>
    </row>
    <row r="19" spans="1:34" ht="12" customHeight="1" x14ac:dyDescent="0.25">
      <c r="A19" s="88"/>
      <c r="B19" s="109"/>
      <c r="C19" s="97" t="s">
        <v>57</v>
      </c>
      <c r="D19" s="101">
        <f>1-AA19/(M19-20)</f>
        <v>0.2885940459165689</v>
      </c>
      <c r="E19" s="56"/>
      <c r="F19" s="3">
        <f>D5</f>
        <v>30</v>
      </c>
      <c r="G19" s="3">
        <f>$D$6*F19</f>
        <v>90</v>
      </c>
      <c r="H19" s="3"/>
      <c r="I19" s="2" t="s">
        <v>52</v>
      </c>
      <c r="J19" s="3">
        <v>0.9</v>
      </c>
      <c r="K19" s="3">
        <v>3.5</v>
      </c>
      <c r="L19">
        <f>D9</f>
        <v>40</v>
      </c>
      <c r="M19" s="3">
        <v>135</v>
      </c>
      <c r="N19" s="3"/>
      <c r="O19" s="4">
        <f t="shared" ref="O19" si="18">G19^2/2*K19/1000+G19/1.11/2*J19</f>
        <v>50.661486486486481</v>
      </c>
      <c r="P19" s="4">
        <f>(F19^2/2*K19/1000+F19/1.11/2*J19)*$T$6</f>
        <v>0</v>
      </c>
      <c r="Q19" s="4">
        <f>($D$7*O19+($G$7-$D$7)*P19)/$G$7</f>
        <v>2.1108952702702699</v>
      </c>
      <c r="R19" s="4">
        <v>0.55000000000000004</v>
      </c>
      <c r="S19" s="4">
        <f t="shared" ref="S19" si="19">Q19*R19</f>
        <v>1.1609923986486486</v>
      </c>
      <c r="T19" s="4">
        <v>0.55000000000000004</v>
      </c>
      <c r="U19" s="4">
        <f t="shared" ref="U19" si="20">O19*T19</f>
        <v>27.863817567567565</v>
      </c>
      <c r="V19" s="1">
        <v>1.602E-2</v>
      </c>
      <c r="W19" s="4">
        <f t="shared" ref="W19" si="21">O19*V19*6</f>
        <v>4.8695820810810808</v>
      </c>
      <c r="X19" s="4">
        <f t="shared" ref="X19" si="22">U19+W19</f>
        <v>32.733399648648643</v>
      </c>
      <c r="Y19" s="42">
        <v>0.73280000000000001</v>
      </c>
      <c r="Z19" s="15">
        <f t="shared" ref="Z19" si="23">6*Q19*Y19+S19</f>
        <v>10.442176722972972</v>
      </c>
      <c r="AA19" s="16">
        <f>Z19+X19*($G$7-$D$7)/$G$7+L19</f>
        <v>81.811684719594581</v>
      </c>
      <c r="AB19" s="4">
        <f>Z19-X19*$D$7/$G$7+L19</f>
        <v>49.078285070945945</v>
      </c>
      <c r="AF19" s="4"/>
      <c r="AG19" s="4"/>
      <c r="AH19" s="4"/>
    </row>
    <row r="20" spans="1:34" ht="12" customHeight="1" x14ac:dyDescent="0.25">
      <c r="A20" s="88"/>
      <c r="B20" s="109"/>
      <c r="C20" s="98"/>
      <c r="D20" s="101"/>
      <c r="E20" s="56"/>
      <c r="F20" s="3"/>
      <c r="G20" s="3"/>
      <c r="H20" s="3"/>
      <c r="I20" s="3"/>
      <c r="J20" s="3"/>
      <c r="K20" s="3"/>
      <c r="L20" s="3"/>
      <c r="M20" s="3"/>
      <c r="N20" s="3"/>
      <c r="V20" s="1"/>
      <c r="Z20" s="16"/>
      <c r="AA20" s="16"/>
      <c r="AF20" s="4"/>
      <c r="AG20" s="4"/>
      <c r="AH20" s="4"/>
    </row>
    <row r="21" spans="1:34" ht="12" customHeight="1" x14ac:dyDescent="0.25">
      <c r="A21" s="88"/>
      <c r="B21" s="109"/>
      <c r="C21" s="97" t="s">
        <v>58</v>
      </c>
      <c r="D21" s="101">
        <f>1-AA21/(M21-20)</f>
        <v>0.35933180834312584</v>
      </c>
      <c r="E21" s="56"/>
      <c r="F21" s="3">
        <f>D5</f>
        <v>30</v>
      </c>
      <c r="G21" s="3">
        <f>$D$6*F21</f>
        <v>90</v>
      </c>
      <c r="H21" s="3"/>
      <c r="I21" s="2" t="s">
        <v>4</v>
      </c>
      <c r="J21" s="3">
        <v>0.9</v>
      </c>
      <c r="K21" s="3">
        <v>2</v>
      </c>
      <c r="L21">
        <f>D9</f>
        <v>40</v>
      </c>
      <c r="M21" s="3">
        <v>135</v>
      </c>
      <c r="N21" s="3"/>
      <c r="O21" s="4">
        <f t="shared" ref="O21" si="24">G21^2/2*K21/1000+G21/1.11/2*J21</f>
        <v>44.586486486486486</v>
      </c>
      <c r="P21" s="4">
        <f>(F21^2/2*K21/1000+F21/1.11/2*J21)*$T$6</f>
        <v>0</v>
      </c>
      <c r="Q21" s="4">
        <f>($D$7*O21+($G$7-$D$7)*P21)/$G$7</f>
        <v>1.8577702702702703</v>
      </c>
      <c r="R21" s="4">
        <v>0.48</v>
      </c>
      <c r="S21" s="4">
        <f t="shared" ref="S21" si="25">Q21*R21</f>
        <v>0.89172972972972975</v>
      </c>
      <c r="T21" s="4">
        <v>0.48</v>
      </c>
      <c r="U21" s="4">
        <f t="shared" ref="U21" si="26">O21*T21</f>
        <v>21.401513513513514</v>
      </c>
      <c r="V21" s="1">
        <v>1.602E-2</v>
      </c>
      <c r="W21" s="4">
        <f t="shared" ref="W21" si="27">O21*V21*6</f>
        <v>4.2856530810810813</v>
      </c>
      <c r="X21" s="4">
        <f t="shared" ref="X21" si="28">U21+W21</f>
        <v>25.687166594594594</v>
      </c>
      <c r="Y21" s="42">
        <v>0.73280000000000001</v>
      </c>
      <c r="Z21" s="15">
        <f t="shared" ref="Z21" si="29">6*Q21*Y21+S21</f>
        <v>9.0599740540540523</v>
      </c>
      <c r="AA21" s="16">
        <f>Z21+X21*($G$7-$D$7)/$G$7+L21</f>
        <v>73.676842040540535</v>
      </c>
      <c r="AB21" s="4">
        <f>Z21-X21*$D$7/$G$7+L21</f>
        <v>47.989675445945942</v>
      </c>
      <c r="AF21" s="4"/>
      <c r="AG21" s="4"/>
      <c r="AH21" s="4"/>
    </row>
    <row r="22" spans="1:34" ht="12" customHeight="1" x14ac:dyDescent="0.25">
      <c r="A22" s="88"/>
      <c r="B22" s="109"/>
      <c r="C22" s="98"/>
      <c r="D22" s="102"/>
      <c r="E22" s="4"/>
      <c r="F22" s="3"/>
      <c r="G22" s="3"/>
      <c r="H22" s="3"/>
      <c r="I22" s="3"/>
      <c r="J22" s="3"/>
      <c r="K22" s="3"/>
      <c r="L22" s="3"/>
      <c r="M22" s="3"/>
      <c r="N22" s="3"/>
      <c r="V22" s="1"/>
      <c r="Z22" s="16"/>
      <c r="AA22" s="16"/>
      <c r="AF22" s="4"/>
      <c r="AG22" s="4"/>
      <c r="AH22" s="4"/>
    </row>
    <row r="23" spans="1:34" ht="12" customHeight="1" x14ac:dyDescent="0.25">
      <c r="A23" s="88"/>
      <c r="B23" s="110"/>
      <c r="C23" s="99" t="s">
        <v>59</v>
      </c>
      <c r="D23" s="103">
        <f>1-AA23/(M23-5)</f>
        <v>0.43325506122661128</v>
      </c>
      <c r="E23" s="56"/>
      <c r="F23" s="68">
        <f>D5</f>
        <v>30</v>
      </c>
      <c r="G23" s="69">
        <f>$D$6*F23</f>
        <v>90</v>
      </c>
      <c r="H23" s="68"/>
      <c r="I23" s="80" t="s">
        <v>4</v>
      </c>
      <c r="J23" s="69">
        <v>0.9</v>
      </c>
      <c r="K23" s="69">
        <v>2</v>
      </c>
      <c r="L23" s="68">
        <f>D9</f>
        <v>40</v>
      </c>
      <c r="M23" s="69">
        <v>135</v>
      </c>
      <c r="N23" s="68"/>
      <c r="O23" s="72">
        <f t="shared" ref="O23" si="30">G23^2/2*K23/1000+G23/1.11/2*J23</f>
        <v>44.586486486486486</v>
      </c>
      <c r="P23" s="72">
        <f>(F23^2/2*K23/1000+F23/1.11/2*J23)*$T$6</f>
        <v>0</v>
      </c>
      <c r="Q23" s="72">
        <f>($D$7*O23+($G$7-$D$7)*P23)/$G$7</f>
        <v>1.8577702702702703</v>
      </c>
      <c r="R23" s="72">
        <v>0.48</v>
      </c>
      <c r="S23" s="72">
        <f t="shared" ref="S23" si="31">Q23*R23</f>
        <v>0.89172972972972975</v>
      </c>
      <c r="T23" s="72">
        <v>0.48</v>
      </c>
      <c r="U23" s="72">
        <f t="shared" ref="U23" si="32">O23*T23</f>
        <v>21.401513513513514</v>
      </c>
      <c r="V23" s="74">
        <v>1.602E-2</v>
      </c>
      <c r="W23" s="72">
        <f t="shared" ref="W23" si="33">O23*V23*6</f>
        <v>4.2856530810810813</v>
      </c>
      <c r="X23" s="72">
        <f t="shared" ref="X23" si="34">U23+W23</f>
        <v>25.687166594594594</v>
      </c>
      <c r="Y23" s="78">
        <v>0.73280000000000001</v>
      </c>
      <c r="Z23" s="76">
        <f t="shared" ref="Z23" si="35">6*Q23*Y23+S23</f>
        <v>9.0599740540540523</v>
      </c>
      <c r="AA23" s="71">
        <f>Z23+X23*($G$7-$D$7)/$G$7+L23</f>
        <v>73.676842040540535</v>
      </c>
      <c r="AB23" s="72">
        <f>Z23-X23*$D$7/$G$7+L23</f>
        <v>47.989675445945942</v>
      </c>
      <c r="AF23" s="4"/>
      <c r="AG23" s="4"/>
      <c r="AH23" s="4"/>
    </row>
    <row r="24" spans="1:34" ht="12" customHeight="1" x14ac:dyDescent="0.25">
      <c r="A24" s="88"/>
      <c r="B24" s="108" t="s">
        <v>45</v>
      </c>
      <c r="C24" s="100"/>
      <c r="D24" s="104"/>
      <c r="F24" s="3"/>
      <c r="G24" s="3"/>
      <c r="H24" s="3"/>
      <c r="I24" s="3"/>
      <c r="J24" s="3"/>
      <c r="K24" s="3"/>
      <c r="L24" s="3"/>
      <c r="M24" s="3"/>
      <c r="N24" s="3"/>
      <c r="O24" s="16"/>
      <c r="R24" s="1"/>
      <c r="T24" s="1"/>
      <c r="V24" s="1"/>
      <c r="Z24" s="16"/>
      <c r="AA24" s="16"/>
      <c r="AF24" s="4"/>
      <c r="AG24" s="4"/>
      <c r="AH24" s="4"/>
    </row>
    <row r="25" spans="1:34" ht="12" customHeight="1" x14ac:dyDescent="0.25">
      <c r="A25" s="88"/>
      <c r="B25" s="109"/>
      <c r="C25" s="97" t="s">
        <v>60</v>
      </c>
      <c r="D25" s="101">
        <f>1-AA25/(M25-5)</f>
        <v>0.50946570686070691</v>
      </c>
      <c r="F25">
        <f>D5</f>
        <v>30</v>
      </c>
      <c r="G25" s="3">
        <f>$D$6*F25</f>
        <v>90</v>
      </c>
      <c r="H25" s="3"/>
      <c r="I25" s="50" t="s">
        <v>35</v>
      </c>
      <c r="J25" s="3">
        <v>0.85</v>
      </c>
      <c r="K25" s="3">
        <v>2</v>
      </c>
      <c r="L25" s="3">
        <f>D9</f>
        <v>40</v>
      </c>
      <c r="M25" s="3">
        <v>135</v>
      </c>
      <c r="N25" s="3"/>
      <c r="O25" s="16">
        <f t="shared" ref="O25" si="36">G25^2/2*K25/1000+G25/1.11/2*J25</f>
        <v>42.559459459459461</v>
      </c>
      <c r="P25" s="4">
        <f t="shared" ref="P25" si="37">(F25^2/2*K25/1000+F25/1.11/2*J25)*$T$6</f>
        <v>0</v>
      </c>
      <c r="Q25" s="4">
        <f>($D$7*O25+($G$7-$D$7)*P25)/$G$7</f>
        <v>1.7733108108108107</v>
      </c>
      <c r="R25" s="1">
        <v>0.34</v>
      </c>
      <c r="S25" s="4">
        <f t="shared" ref="S25" si="38">Q25*R25</f>
        <v>0.60292567567567568</v>
      </c>
      <c r="T25" s="1">
        <v>0.34</v>
      </c>
      <c r="U25" s="4">
        <f t="shared" ref="U25" si="39">O25*T25</f>
        <v>14.470216216216217</v>
      </c>
      <c r="V25" s="59">
        <v>3.1E-2</v>
      </c>
      <c r="W25" s="4">
        <f t="shared" ref="W25" si="40">O25*V25*6</f>
        <v>7.9160594594594595</v>
      </c>
      <c r="X25" s="4">
        <f t="shared" ref="X25" si="41">U25+W25</f>
        <v>22.386275675675677</v>
      </c>
      <c r="Y25" s="42">
        <v>0.161</v>
      </c>
      <c r="Z25" s="15">
        <f t="shared" ref="Z25" si="42">6*Q25*Y25+S25</f>
        <v>2.3159439189189186</v>
      </c>
      <c r="AA25" s="16">
        <f>Z25+X25*($G$7-$D$7)/$G$7+L25</f>
        <v>63.769458108108111</v>
      </c>
      <c r="AB25" s="4">
        <f>Z25-X25*$D$7/$G$7+L25</f>
        <v>41.383182432432434</v>
      </c>
      <c r="AF25" s="4"/>
      <c r="AG25" s="4"/>
      <c r="AH25" s="4"/>
    </row>
    <row r="26" spans="1:34" ht="12" customHeight="1" x14ac:dyDescent="0.25">
      <c r="A26" s="88"/>
      <c r="B26" s="109"/>
      <c r="C26" s="98"/>
      <c r="D26" s="105"/>
    </row>
    <row r="27" spans="1:34" ht="12" customHeight="1" x14ac:dyDescent="0.25">
      <c r="A27" s="88"/>
      <c r="B27" s="109"/>
      <c r="C27" s="97" t="s">
        <v>61</v>
      </c>
      <c r="D27" s="101">
        <f>1-AA27/(M27)</f>
        <v>0.54325606856856856</v>
      </c>
      <c r="F27">
        <f>D5</f>
        <v>30</v>
      </c>
      <c r="G27" s="3">
        <f>$D$6*F27</f>
        <v>90</v>
      </c>
      <c r="H27" s="3"/>
      <c r="I27" s="50" t="s">
        <v>36</v>
      </c>
      <c r="J27" s="3">
        <v>0.8</v>
      </c>
      <c r="K27" s="3">
        <v>1.5</v>
      </c>
      <c r="L27" s="3">
        <f>D9</f>
        <v>40</v>
      </c>
      <c r="M27" s="3">
        <v>135</v>
      </c>
      <c r="N27" s="3"/>
      <c r="O27" s="16">
        <f t="shared" ref="O27" si="43">G27^2/2*K27/1000+G27/1.11/2*J27</f>
        <v>38.507432432432438</v>
      </c>
      <c r="P27" s="4">
        <f t="shared" ref="P27" si="44">(F27^2/2*K27/1000+F27/1.11/2*J27)*$T$6</f>
        <v>0</v>
      </c>
      <c r="Q27" s="4">
        <f>($D$7*O27+($G$7-$D$7)*P27)/$G$7</f>
        <v>1.6044763513513516</v>
      </c>
      <c r="R27" s="1">
        <v>0.34399999999999997</v>
      </c>
      <c r="S27" s="4">
        <f t="shared" ref="S27" si="45">Q27*R27</f>
        <v>0.5519398648648649</v>
      </c>
      <c r="T27" s="1">
        <v>0.34399999999999997</v>
      </c>
      <c r="U27" s="4">
        <f t="shared" ref="U27" si="46">O27*T27</f>
        <v>13.246556756756757</v>
      </c>
      <c r="V27" s="59">
        <v>3.1E-2</v>
      </c>
      <c r="W27" s="4">
        <f t="shared" ref="W27" si="47">O27*V27*6</f>
        <v>7.1623824324324339</v>
      </c>
      <c r="X27" s="4">
        <f t="shared" ref="X27" si="48">U27+W27</f>
        <v>20.408939189189191</v>
      </c>
      <c r="Y27" s="42">
        <v>0.161</v>
      </c>
      <c r="Z27" s="15">
        <f t="shared" ref="Z27" si="49">6*Q27*Y27+S27</f>
        <v>2.1018640202702707</v>
      </c>
      <c r="AA27" s="16">
        <f>Z27+X27*($G$7-$D$7)/$G$7+L27</f>
        <v>61.660430743243246</v>
      </c>
      <c r="AB27" s="4">
        <f>Z27-X27*$D$7/$G$7+L27</f>
        <v>41.251491554054056</v>
      </c>
    </row>
    <row r="28" spans="1:34" ht="12" customHeight="1" x14ac:dyDescent="0.25">
      <c r="A28" s="88"/>
      <c r="B28" s="109"/>
      <c r="C28" s="98"/>
      <c r="D28" s="101"/>
      <c r="G28" s="3"/>
      <c r="H28" s="3"/>
      <c r="I28" s="3"/>
      <c r="J28" s="3"/>
      <c r="K28" s="3"/>
      <c r="L28" s="3"/>
      <c r="M28" s="3"/>
      <c r="N28" s="3"/>
      <c r="O28" s="16"/>
      <c r="R28" s="1"/>
      <c r="T28" s="1"/>
      <c r="V28" s="59"/>
      <c r="Y28" s="42"/>
      <c r="Z28" s="16"/>
      <c r="AA28" s="16"/>
    </row>
    <row r="29" spans="1:34" ht="12" customHeight="1" x14ac:dyDescent="0.25">
      <c r="A29" s="88"/>
      <c r="B29" s="110"/>
      <c r="C29" s="99" t="s">
        <v>62</v>
      </c>
      <c r="D29" s="103">
        <f>1-AA29/(M29)</f>
        <v>0.56761658133133142</v>
      </c>
      <c r="F29" s="68">
        <f>D5</f>
        <v>30</v>
      </c>
      <c r="G29" s="69">
        <f>$D$6*F29</f>
        <v>90</v>
      </c>
      <c r="H29" s="69"/>
      <c r="I29" s="70" t="s">
        <v>37</v>
      </c>
      <c r="J29" s="69">
        <v>0.88</v>
      </c>
      <c r="K29" s="69">
        <v>1.1499999999999999</v>
      </c>
      <c r="L29" s="69">
        <f>D9</f>
        <v>40</v>
      </c>
      <c r="M29" s="69">
        <v>135</v>
      </c>
      <c r="N29" s="69"/>
      <c r="O29" s="71">
        <f t="shared" ref="O29" si="50">G29^2/2*K29/1000+G29/1.11/2*J29</f>
        <v>40.333175675675676</v>
      </c>
      <c r="P29" s="72">
        <f t="shared" ref="P29" si="51">(F29^2/2*K29/1000+F29/1.11/2*J29)*$T$6</f>
        <v>0</v>
      </c>
      <c r="Q29" s="72">
        <f>($D$7*O29+($G$7-$D$7)*P29)/$G$7</f>
        <v>1.6805489864864867</v>
      </c>
      <c r="R29" s="74">
        <v>0.23699999999999999</v>
      </c>
      <c r="S29" s="72">
        <f t="shared" ref="S29" si="52">Q29*R29</f>
        <v>0.39829010979729734</v>
      </c>
      <c r="T29" s="74">
        <v>0.23699999999999999</v>
      </c>
      <c r="U29" s="72">
        <f t="shared" ref="U29" si="53">O29*T29</f>
        <v>9.5589626351351349</v>
      </c>
      <c r="V29" s="79">
        <v>3.1E-2</v>
      </c>
      <c r="W29" s="72">
        <f t="shared" ref="W29" si="54">O29*V29*6</f>
        <v>7.5019706756756763</v>
      </c>
      <c r="X29" s="72">
        <f t="shared" ref="X29" si="55">U29+W29</f>
        <v>17.06093331081081</v>
      </c>
      <c r="Y29" s="78">
        <v>0.161</v>
      </c>
      <c r="Z29" s="76">
        <f t="shared" ref="Z29" si="56">6*Q29*Y29+S29</f>
        <v>2.0217004307432433</v>
      </c>
      <c r="AA29" s="71">
        <f>Z29+X29*($G$7-$D$7)/$G$7+L29</f>
        <v>58.371761520270269</v>
      </c>
      <c r="AB29" s="72">
        <f>Z29-X29*$D$7/$G$7+L29</f>
        <v>41.310828209459459</v>
      </c>
    </row>
    <row r="30" spans="1:34" ht="12" customHeight="1" x14ac:dyDescent="0.25">
      <c r="A30" s="88"/>
      <c r="B30" s="108" t="s">
        <v>53</v>
      </c>
      <c r="C30" s="100"/>
      <c r="D30" s="104"/>
      <c r="F30" s="3"/>
      <c r="G30" s="3"/>
      <c r="H30" s="3"/>
      <c r="I30" s="3"/>
      <c r="J30" s="3"/>
      <c r="K30" s="3"/>
      <c r="L30" s="3"/>
      <c r="M30" s="3"/>
      <c r="N30" s="3"/>
      <c r="O30" s="16"/>
      <c r="R30" s="1"/>
      <c r="T30" s="1"/>
      <c r="V30" s="1"/>
      <c r="Z30" s="16"/>
      <c r="AA30" s="16"/>
    </row>
    <row r="31" spans="1:34" ht="12" customHeight="1" x14ac:dyDescent="0.25">
      <c r="A31" s="88"/>
      <c r="B31" s="109"/>
      <c r="C31" s="97" t="s">
        <v>63</v>
      </c>
      <c r="D31" s="101">
        <f>1-AA31/(M31-17)</f>
        <v>0.61547462636659223</v>
      </c>
      <c r="F31">
        <f>D5</f>
        <v>30</v>
      </c>
      <c r="G31" s="3">
        <f>$D$6*F31</f>
        <v>90</v>
      </c>
      <c r="H31" s="3"/>
      <c r="I31" s="50" t="s">
        <v>66</v>
      </c>
      <c r="J31" s="3">
        <v>0.9</v>
      </c>
      <c r="K31" s="3">
        <v>0.92</v>
      </c>
      <c r="L31" s="3">
        <f>D9</f>
        <v>40</v>
      </c>
      <c r="M31" s="3">
        <v>150</v>
      </c>
      <c r="N31" s="3"/>
      <c r="O31" s="16">
        <f>G31^2/2*K31/1000+G31/1.11/2*J31</f>
        <v>40.212486486486483</v>
      </c>
      <c r="P31" s="16">
        <f>(F31^2/2*K31/1000+F31/1.11/2*J31)*$T$7</f>
        <v>0</v>
      </c>
      <c r="Q31" s="16">
        <f>($D$7*O31+($G$7-$D$7)*P31)/$G$7</f>
        <v>1.6755202702702703</v>
      </c>
      <c r="R31" s="65">
        <v>0.188</v>
      </c>
      <c r="S31" s="16">
        <f t="shared" ref="S31" si="57">Q31*R31</f>
        <v>0.3149978108108108</v>
      </c>
      <c r="T31" s="65">
        <v>0.188</v>
      </c>
      <c r="U31" s="16">
        <f t="shared" ref="U31" si="58">O31*T31</f>
        <v>7.5599474594594591</v>
      </c>
      <c r="V31" s="1">
        <v>1.3100000000000001E-2</v>
      </c>
      <c r="W31" s="16">
        <f t="shared" ref="W31" si="59">O31*V31*6</f>
        <v>3.1607014378378375</v>
      </c>
      <c r="X31" s="16">
        <f t="shared" ref="X31" si="60">U31+W31</f>
        <v>10.720648897297297</v>
      </c>
      <c r="Y31" s="66">
        <v>5.5E-2</v>
      </c>
      <c r="Z31" s="15">
        <f t="shared" ref="Z31" si="61">6*Q31*Y31+S31</f>
        <v>0.86791949999999995</v>
      </c>
      <c r="AA31" s="71">
        <f>Z31+X31*($G$7-$D$7)/$G$7+L31</f>
        <v>51.141874693243238</v>
      </c>
      <c r="AB31" s="4">
        <f>Z31-X31*$D$7/$G$7+L31</f>
        <v>40.421225795945944</v>
      </c>
    </row>
    <row r="32" spans="1:34" ht="12" customHeight="1" x14ac:dyDescent="0.25">
      <c r="A32" s="88"/>
      <c r="B32" s="109"/>
      <c r="C32" s="98"/>
      <c r="D32" s="105"/>
      <c r="R32" s="1"/>
      <c r="T32" s="1"/>
      <c r="Y32" s="1"/>
      <c r="AA32" s="16"/>
    </row>
    <row r="33" spans="1:28" ht="12" customHeight="1" x14ac:dyDescent="0.25">
      <c r="A33" s="88"/>
      <c r="B33" s="109"/>
      <c r="C33" s="97" t="s">
        <v>64</v>
      </c>
      <c r="D33" s="101">
        <f>1-AA33/(M33-15)</f>
        <v>0.63273533174424434</v>
      </c>
      <c r="F33">
        <f>D5</f>
        <v>30</v>
      </c>
      <c r="G33" s="3">
        <f>$D$6*F33</f>
        <v>90</v>
      </c>
      <c r="H33" s="3"/>
      <c r="I33" s="2" t="s">
        <v>67</v>
      </c>
      <c r="J33" s="3">
        <v>0.81</v>
      </c>
      <c r="K33" s="3">
        <v>0.85</v>
      </c>
      <c r="L33" s="3">
        <f>D9</f>
        <v>40</v>
      </c>
      <c r="M33" s="3">
        <v>150</v>
      </c>
      <c r="N33" s="3"/>
      <c r="O33" s="16">
        <f>G33^2/2*K33/1000+G33/1.11/2*J33</f>
        <v>36.280337837837841</v>
      </c>
      <c r="P33" s="4">
        <f>(F33^2/2*K33/1000+F33/1.11/2*J33)*$T$7</f>
        <v>0</v>
      </c>
      <c r="Q33" s="4">
        <f>($D$7*O33+($G$7-$D$7)*P33)/$G$7</f>
        <v>1.5116807432432435</v>
      </c>
      <c r="R33" s="65">
        <v>0.17499999999999999</v>
      </c>
      <c r="S33" s="4">
        <f t="shared" ref="S33" si="62">Q33*R33</f>
        <v>0.26454413006756761</v>
      </c>
      <c r="T33" s="65">
        <v>0.17499999999999999</v>
      </c>
      <c r="U33" s="4">
        <f t="shared" ref="U33:U35" si="63">O33*T33</f>
        <v>6.3490591216216217</v>
      </c>
      <c r="V33" s="1">
        <v>1.3100000000000001E-2</v>
      </c>
      <c r="W33" s="4">
        <f t="shared" ref="W33:W35" si="64">O33*V33*6</f>
        <v>2.8516345540540544</v>
      </c>
      <c r="X33" s="4">
        <f t="shared" ref="X33:X35" si="65">U33+W33</f>
        <v>9.2006936756756765</v>
      </c>
      <c r="Y33" s="66">
        <v>5.5E-2</v>
      </c>
      <c r="Z33" s="15">
        <f t="shared" ref="Z33" si="66">6*Q33*Y33+S33</f>
        <v>0.76339877533783795</v>
      </c>
      <c r="AA33" s="71">
        <f>Z33+X33*($G$7-$D$7)/$G$7+L33</f>
        <v>49.580730214527023</v>
      </c>
      <c r="AB33" s="4">
        <f>Z33-X33*$D$7/$G$7+L33</f>
        <v>40.38003653885135</v>
      </c>
    </row>
    <row r="34" spans="1:28" ht="12" customHeight="1" x14ac:dyDescent="0.25">
      <c r="A34" s="88"/>
      <c r="B34" s="109"/>
      <c r="C34" s="98"/>
      <c r="D34" s="101"/>
      <c r="G34" s="3"/>
      <c r="H34" s="3"/>
      <c r="I34" s="3"/>
      <c r="J34" s="3"/>
      <c r="K34" s="3"/>
      <c r="L34" s="3"/>
      <c r="M34" s="3"/>
      <c r="N34" s="3"/>
      <c r="O34" s="16"/>
      <c r="R34" s="65"/>
      <c r="T34" s="1"/>
      <c r="V34" s="1"/>
      <c r="Y34" s="1"/>
      <c r="Z34" s="16"/>
      <c r="AA34" s="16"/>
    </row>
    <row r="35" spans="1:28" ht="12" customHeight="1" x14ac:dyDescent="0.25">
      <c r="A35" s="88"/>
      <c r="B35" s="110"/>
      <c r="C35" s="99" t="s">
        <v>65</v>
      </c>
      <c r="D35" s="103">
        <f>1-AA35/(M35)</f>
        <v>0.66946179856981991</v>
      </c>
      <c r="F35" s="68">
        <f>D5</f>
        <v>30</v>
      </c>
      <c r="G35" s="69">
        <f>$D$6*F35</f>
        <v>90</v>
      </c>
      <c r="H35" s="69"/>
      <c r="I35" s="70" t="s">
        <v>67</v>
      </c>
      <c r="J35" s="69">
        <v>0.81</v>
      </c>
      <c r="K35" s="69">
        <v>0.85</v>
      </c>
      <c r="L35" s="69">
        <f>D9</f>
        <v>40</v>
      </c>
      <c r="M35" s="69">
        <v>150</v>
      </c>
      <c r="N35" s="69"/>
      <c r="O35" s="71">
        <f>G35^2/2*K35/1000+G35/1.11/2*J35</f>
        <v>36.280337837837841</v>
      </c>
      <c r="P35" s="72">
        <f>(F35^2/2*K35/1000+F35/1.11/2*J35)*$T$7</f>
        <v>0</v>
      </c>
      <c r="Q35" s="72">
        <f>($D$7*O35+($G$7-$D$7)*P35)/$G$7</f>
        <v>1.5116807432432435</v>
      </c>
      <c r="R35" s="73">
        <v>0.17499999999999999</v>
      </c>
      <c r="S35" s="72">
        <f t="shared" ref="S35" si="67">Q35*R35</f>
        <v>0.26454413006756761</v>
      </c>
      <c r="T35" s="73">
        <v>0.17499999999999999</v>
      </c>
      <c r="U35" s="72">
        <f t="shared" si="63"/>
        <v>6.3490591216216217</v>
      </c>
      <c r="V35" s="74">
        <v>1.3100000000000001E-2</v>
      </c>
      <c r="W35" s="72">
        <f t="shared" si="64"/>
        <v>2.8516345540540544</v>
      </c>
      <c r="X35" s="72">
        <f t="shared" si="65"/>
        <v>9.2006936756756765</v>
      </c>
      <c r="Y35" s="75">
        <v>5.5E-2</v>
      </c>
      <c r="Z35" s="76">
        <f t="shared" ref="Z35" si="68">6*Q35*Y35+S35</f>
        <v>0.76339877533783795</v>
      </c>
      <c r="AA35" s="71">
        <f>Z35+X35*($G$7-$D$7)/$G$7+L35</f>
        <v>49.580730214527023</v>
      </c>
      <c r="AB35" s="72">
        <f>Z35-X35*$D$7/$G$7+L35</f>
        <v>40.38003653885135</v>
      </c>
    </row>
    <row r="36" spans="1:28" ht="12" customHeight="1" x14ac:dyDescent="0.25">
      <c r="A36" s="88"/>
      <c r="B36" s="108" t="s">
        <v>75</v>
      </c>
      <c r="C36" s="100"/>
      <c r="D36" s="104"/>
    </row>
    <row r="37" spans="1:28" ht="12" customHeight="1" x14ac:dyDescent="0.25">
      <c r="A37" s="88"/>
      <c r="B37" s="109"/>
      <c r="C37" s="97" t="s">
        <v>69</v>
      </c>
      <c r="D37" s="101">
        <f>1-AA37/(M37-45)</f>
        <v>0.57826738837580438</v>
      </c>
      <c r="F37">
        <f>D5</f>
        <v>30</v>
      </c>
      <c r="G37" s="3">
        <f>$D$6*F37</f>
        <v>90</v>
      </c>
      <c r="H37" s="3"/>
      <c r="I37" s="2" t="s">
        <v>73</v>
      </c>
      <c r="J37" s="3">
        <v>0.78</v>
      </c>
      <c r="K37" s="3">
        <v>0.32</v>
      </c>
      <c r="L37" s="3">
        <f>D$9</f>
        <v>40</v>
      </c>
      <c r="M37" s="3">
        <v>150</v>
      </c>
      <c r="N37" s="3"/>
      <c r="O37" s="16">
        <f t="shared" ref="O37" si="69">G37^2/2*K37/1000+G37/1.11/2*J37</f>
        <v>32.91762162162162</v>
      </c>
      <c r="P37" s="4">
        <f t="shared" ref="P37" si="70">(F37^2/2*K37/1000+F37/1.11/2*J37)*$T$7</f>
        <v>0</v>
      </c>
      <c r="Q37" s="4">
        <f>($D$7*O37+($G$7-$D$7)*P37)/$G$7</f>
        <v>1.3715675675675676</v>
      </c>
      <c r="R37" s="65">
        <v>9.1999999999999998E-2</v>
      </c>
      <c r="S37" s="4">
        <f t="shared" ref="S37" si="71">Q37*R37</f>
        <v>0.12618421621621623</v>
      </c>
      <c r="T37" s="65">
        <v>9.1999999999999998E-2</v>
      </c>
      <c r="U37" s="4">
        <f t="shared" ref="U37" si="72">O37*T37</f>
        <v>3.028421189189189</v>
      </c>
      <c r="V37" s="67">
        <v>5.1399999999999996E-3</v>
      </c>
      <c r="W37" s="4">
        <f t="shared" ref="W37" si="73">O37*V37*6</f>
        <v>1.0151794508108107</v>
      </c>
      <c r="X37" s="4">
        <f t="shared" ref="X37" si="74">U37+W37</f>
        <v>4.0436006399999993</v>
      </c>
      <c r="Y37" s="42">
        <v>3.4099999999999998E-2</v>
      </c>
      <c r="Z37" s="15">
        <f t="shared" ref="Z37" si="75">6*Q37*Y37+S37</f>
        <v>0.40680694054054051</v>
      </c>
      <c r="AA37" s="71">
        <f>Z37+X37*($G$7-$D$7)/$G$7+L37</f>
        <v>44.281924220540539</v>
      </c>
      <c r="AB37" s="4">
        <f>Z37-X37*$D$7/$G$7+L37</f>
        <v>40.238323580540538</v>
      </c>
    </row>
    <row r="38" spans="1:28" ht="12" customHeight="1" x14ac:dyDescent="0.25">
      <c r="A38" s="88"/>
      <c r="B38" s="109"/>
      <c r="C38" s="98"/>
      <c r="D38" s="105"/>
      <c r="F38" s="3"/>
      <c r="G38" s="3"/>
      <c r="H38" s="3"/>
      <c r="I38" s="3"/>
      <c r="J38" s="3"/>
      <c r="K38" s="3"/>
      <c r="L38" s="3"/>
      <c r="M38" s="3"/>
      <c r="N38" s="3"/>
      <c r="O38" s="16"/>
      <c r="R38" s="1"/>
      <c r="T38" s="1"/>
      <c r="V38" s="67"/>
      <c r="Z38" s="16"/>
      <c r="AA38" s="16"/>
    </row>
    <row r="39" spans="1:28" ht="12" customHeight="1" x14ac:dyDescent="0.25">
      <c r="A39" s="88"/>
      <c r="B39" s="109"/>
      <c r="C39" s="97" t="s">
        <v>70</v>
      </c>
      <c r="D39" s="101">
        <f>1-AA39/(M39-30)</f>
        <v>0.6309839648288289</v>
      </c>
      <c r="F39">
        <f>D5</f>
        <v>30</v>
      </c>
      <c r="G39" s="3">
        <f>$D$6*F39</f>
        <v>90</v>
      </c>
      <c r="H39" s="3"/>
      <c r="I39" s="2" t="s">
        <v>73</v>
      </c>
      <c r="J39" s="3">
        <v>0.78</v>
      </c>
      <c r="K39" s="3">
        <v>0.32</v>
      </c>
      <c r="L39" s="3">
        <f>D$9</f>
        <v>40</v>
      </c>
      <c r="M39" s="3">
        <v>150</v>
      </c>
      <c r="N39" s="3"/>
      <c r="O39" s="4">
        <f t="shared" ref="O39" si="76">G39^2/2*K39/1000+G39/1.11/2*J39</f>
        <v>32.91762162162162</v>
      </c>
      <c r="P39" s="4">
        <f t="shared" ref="P39" si="77">(F39^2/2*K39/1000+F39/1.11/2*J39)*$T$7</f>
        <v>0</v>
      </c>
      <c r="Q39" s="4">
        <f>($D$7*O39+($G$7-$D$7)*P39)/$G$7</f>
        <v>1.3715675675675676</v>
      </c>
      <c r="R39" s="65">
        <v>9.1999999999999998E-2</v>
      </c>
      <c r="S39" s="4">
        <f t="shared" ref="S39" si="78">Q39*R39</f>
        <v>0.12618421621621623</v>
      </c>
      <c r="T39" s="65">
        <v>9.1999999999999998E-2</v>
      </c>
      <c r="U39" s="4">
        <f t="shared" ref="U39" si="79">O39*T39</f>
        <v>3.028421189189189</v>
      </c>
      <c r="V39" s="67">
        <v>5.1399999999999996E-3</v>
      </c>
      <c r="W39" s="4">
        <f t="shared" ref="W39" si="80">O39*V39*6</f>
        <v>1.0151794508108107</v>
      </c>
      <c r="X39" s="4">
        <f t="shared" ref="X39" si="81">U39+W39</f>
        <v>4.0436006399999993</v>
      </c>
      <c r="Y39" s="42">
        <v>3.4099999999999998E-2</v>
      </c>
      <c r="Z39" s="15">
        <f t="shared" ref="Z39" si="82">6*Q39*Y39+S39</f>
        <v>0.40680694054054051</v>
      </c>
      <c r="AA39" s="71">
        <f>Z39+X39*($G$7-$D$7)/$G$7+L39</f>
        <v>44.281924220540539</v>
      </c>
      <c r="AB39" s="4">
        <f>Z39-X39*$D$7/$G$7+L39</f>
        <v>40.238323580540538</v>
      </c>
    </row>
    <row r="40" spans="1:28" ht="12" customHeight="1" x14ac:dyDescent="0.25">
      <c r="A40" s="88"/>
      <c r="B40" s="109"/>
      <c r="C40" s="98"/>
      <c r="D40" s="101"/>
      <c r="F40" s="3"/>
      <c r="G40" s="3"/>
      <c r="H40" s="3"/>
      <c r="I40" s="3"/>
      <c r="J40" s="3"/>
      <c r="K40" s="3"/>
      <c r="L40" s="3"/>
      <c r="M40" s="3"/>
      <c r="N40" s="3"/>
      <c r="R40" s="1"/>
      <c r="T40" s="1"/>
      <c r="V40" s="67"/>
      <c r="Z40" s="16"/>
      <c r="AA40" s="16"/>
    </row>
    <row r="41" spans="1:28" ht="12" customHeight="1" x14ac:dyDescent="0.25">
      <c r="A41" s="88"/>
      <c r="B41" s="109"/>
      <c r="C41" s="97" t="s">
        <v>71</v>
      </c>
      <c r="D41" s="101">
        <f>1-AA41/(M41-15)</f>
        <v>0.67198574651451448</v>
      </c>
      <c r="F41">
        <f>D5</f>
        <v>30</v>
      </c>
      <c r="G41" s="3">
        <f>$D$6*F41</f>
        <v>90</v>
      </c>
      <c r="H41" s="3"/>
      <c r="I41" s="2" t="s">
        <v>73</v>
      </c>
      <c r="J41" s="3">
        <v>0.78</v>
      </c>
      <c r="K41" s="3">
        <v>0.32</v>
      </c>
      <c r="L41" s="3">
        <f>D$9</f>
        <v>40</v>
      </c>
      <c r="M41" s="3">
        <v>150</v>
      </c>
      <c r="N41" s="3"/>
      <c r="O41" s="16">
        <f t="shared" ref="O41" si="83">G41^2/2*K41/1000+G41/1.11/2*J41</f>
        <v>32.91762162162162</v>
      </c>
      <c r="P41" s="4">
        <f t="shared" ref="P41" si="84">(F41^2/2*K41/1000+F41/1.11/2*J41)*$T$7</f>
        <v>0</v>
      </c>
      <c r="Q41" s="4">
        <f>($D$7*O41+($G$7-$D$7)*P41)/$G$7</f>
        <v>1.3715675675675676</v>
      </c>
      <c r="R41" s="65">
        <v>9.1999999999999998E-2</v>
      </c>
      <c r="S41" s="4">
        <f t="shared" ref="S41" si="85">Q41*R41</f>
        <v>0.12618421621621623</v>
      </c>
      <c r="T41" s="65">
        <v>9.1999999999999998E-2</v>
      </c>
      <c r="U41" s="4">
        <f t="shared" ref="U41" si="86">O41*T41</f>
        <v>3.028421189189189</v>
      </c>
      <c r="V41" s="67">
        <v>5.1399999999999996E-3</v>
      </c>
      <c r="W41" s="4">
        <f t="shared" ref="W41" si="87">O41*V41*6</f>
        <v>1.0151794508108107</v>
      </c>
      <c r="X41" s="4">
        <f t="shared" ref="X41" si="88">U41+W41</f>
        <v>4.0436006399999993</v>
      </c>
      <c r="Y41" s="42">
        <v>3.4099999999999998E-2</v>
      </c>
      <c r="Z41" s="15">
        <f t="shared" ref="Z41" si="89">6*Q41*Y41+S41</f>
        <v>0.40680694054054051</v>
      </c>
      <c r="AA41" s="71">
        <f>Z41+X41*($G$7-$D$7)/$G$7+L41</f>
        <v>44.281924220540539</v>
      </c>
      <c r="AB41" s="4">
        <f>Z41-X41*$D$7/$G$7+L41</f>
        <v>40.238323580540538</v>
      </c>
    </row>
    <row r="42" spans="1:28" ht="12" customHeight="1" x14ac:dyDescent="0.25">
      <c r="A42" s="88"/>
      <c r="B42" s="109"/>
      <c r="C42" s="98"/>
      <c r="D42" s="101"/>
      <c r="R42" s="1"/>
      <c r="T42" s="1"/>
      <c r="V42" s="67"/>
      <c r="AA42" s="16"/>
    </row>
    <row r="43" spans="1:28" ht="12" customHeight="1" x14ac:dyDescent="0.25">
      <c r="A43" s="88"/>
      <c r="B43" s="110"/>
      <c r="C43" s="99" t="s">
        <v>72</v>
      </c>
      <c r="D43" s="103">
        <f>1-AA43/(M43)</f>
        <v>0.70478717186306306</v>
      </c>
      <c r="F43" s="68">
        <f>D5</f>
        <v>30</v>
      </c>
      <c r="G43" s="69">
        <f>$D$6*F43</f>
        <v>90</v>
      </c>
      <c r="H43" s="68"/>
      <c r="I43" s="70" t="s">
        <v>73</v>
      </c>
      <c r="J43" s="69">
        <v>0.78</v>
      </c>
      <c r="K43" s="69">
        <v>0.32</v>
      </c>
      <c r="L43" s="69">
        <f>D$9</f>
        <v>40</v>
      </c>
      <c r="M43" s="69">
        <v>150</v>
      </c>
      <c r="N43" s="68"/>
      <c r="O43" s="71">
        <f t="shared" ref="O43" si="90">G43^2/2*K43/1000+G43/1.11/2*J43</f>
        <v>32.91762162162162</v>
      </c>
      <c r="P43" s="72">
        <f t="shared" ref="P43" si="91">(F43^2/2*K43/1000+F43/1.11/2*J43)*$T$7</f>
        <v>0</v>
      </c>
      <c r="Q43" s="72">
        <f>($D$7*O43+($G$7-$D$7)*P43)/$G$7</f>
        <v>1.3715675675675676</v>
      </c>
      <c r="R43" s="73">
        <v>9.1999999999999998E-2</v>
      </c>
      <c r="S43" s="72">
        <f t="shared" ref="S43" si="92">Q43*R43</f>
        <v>0.12618421621621623</v>
      </c>
      <c r="T43" s="73">
        <v>9.1999999999999998E-2</v>
      </c>
      <c r="U43" s="72">
        <f t="shared" ref="U43" si="93">O43*T43</f>
        <v>3.028421189189189</v>
      </c>
      <c r="V43" s="77">
        <v>5.1399999999999996E-3</v>
      </c>
      <c r="W43" s="72">
        <f t="shared" ref="W43" si="94">O43*V43*6</f>
        <v>1.0151794508108107</v>
      </c>
      <c r="X43" s="72">
        <f t="shared" ref="X43" si="95">U43+W43</f>
        <v>4.0436006399999993</v>
      </c>
      <c r="Y43" s="78">
        <v>3.4099999999999998E-2</v>
      </c>
      <c r="Z43" s="76">
        <f t="shared" ref="Z43" si="96">6*Q43*Y43+S43</f>
        <v>0.40680694054054051</v>
      </c>
      <c r="AA43" s="71">
        <f>Z43+X43*($G$7-$D$7)/$G$7+L43</f>
        <v>44.281924220540539</v>
      </c>
      <c r="AB43" s="72">
        <f>Z43-X43*$D$7/$G$7+L43</f>
        <v>40.238323580540538</v>
      </c>
    </row>
    <row r="44" spans="1:28" ht="12" customHeight="1" x14ac:dyDescent="0.25">
      <c r="A44" s="88"/>
      <c r="B44" s="88"/>
      <c r="C44" s="88"/>
      <c r="D44" s="88"/>
    </row>
    <row r="45" spans="1:28" ht="12" customHeight="1" x14ac:dyDescent="0.25">
      <c r="A45" s="88"/>
      <c r="B45" s="106" t="s">
        <v>82</v>
      </c>
      <c r="C45" s="107"/>
      <c r="D45" s="92" t="s">
        <v>78</v>
      </c>
    </row>
    <row r="46" spans="1:28" ht="12" customHeight="1" x14ac:dyDescent="0.25">
      <c r="A46" s="88"/>
      <c r="B46" s="88"/>
      <c r="C46" s="107"/>
      <c r="D46" s="88"/>
    </row>
    <row r="47" spans="1:28" ht="12" customHeight="1" x14ac:dyDescent="0.25">
      <c r="A47" s="88"/>
      <c r="B47" s="88"/>
      <c r="C47" s="107"/>
      <c r="D47" s="93" t="s">
        <v>79</v>
      </c>
    </row>
    <row r="48" spans="1:28" x14ac:dyDescent="0.25">
      <c r="C48" s="107"/>
    </row>
  </sheetData>
  <sheetProtection password="F36F" sheet="1" objects="1" scenarios="1" selectLockedCells="1"/>
  <mergeCells count="8">
    <mergeCell ref="B30:B35"/>
    <mergeCell ref="B36:B43"/>
    <mergeCell ref="B12:B23"/>
    <mergeCell ref="B24:B29"/>
    <mergeCell ref="B5:C5"/>
    <mergeCell ref="B6:C6"/>
    <mergeCell ref="B8:C8"/>
    <mergeCell ref="B9:C9"/>
  </mergeCells>
  <conditionalFormatting sqref="D13">
    <cfRule type="cellIs" dxfId="77" priority="107" operator="lessThan">
      <formula>0</formula>
    </cfRule>
    <cfRule type="cellIs" dxfId="76" priority="108" operator="greaterThan">
      <formula>0</formula>
    </cfRule>
    <cfRule type="cellIs" dxfId="75" priority="109" operator="greaterThan">
      <formula>-0.1</formula>
    </cfRule>
    <cfRule type="cellIs" dxfId="74" priority="110" operator="lessThan">
      <formula>0</formula>
    </cfRule>
    <cfRule type="cellIs" dxfId="73" priority="111" operator="greaterThan">
      <formula>-0.1</formula>
    </cfRule>
    <cfRule type="cellIs" dxfId="72" priority="112" operator="lessThan">
      <formula>0</formula>
    </cfRule>
    <cfRule type="cellIs" dxfId="71" priority="113" operator="greaterThan">
      <formula>-0.1</formula>
    </cfRule>
    <cfRule type="cellIs" dxfId="70" priority="115" operator="greaterThan">
      <formula>0</formula>
    </cfRule>
    <cfRule type="cellIs" dxfId="69" priority="118" operator="greaterThan">
      <formula>100</formula>
    </cfRule>
  </conditionalFormatting>
  <conditionalFormatting sqref="D15">
    <cfRule type="cellIs" dxfId="68" priority="114" operator="greaterThan">
      <formula>0</formula>
    </cfRule>
    <cfRule type="cellIs" dxfId="67" priority="116" operator="lessThan">
      <formula>0</formula>
    </cfRule>
    <cfRule type="cellIs" dxfId="66" priority="117" operator="greaterThan">
      <formula>100</formula>
    </cfRule>
  </conditionalFormatting>
  <conditionalFormatting sqref="D17:E17">
    <cfRule type="cellIs" dxfId="65" priority="104" operator="greaterThan">
      <formula>0</formula>
    </cfRule>
    <cfRule type="cellIs" dxfId="64" priority="105" operator="lessThan">
      <formula>0</formula>
    </cfRule>
    <cfRule type="cellIs" dxfId="63" priority="106" operator="greaterThan">
      <formula>100</formula>
    </cfRule>
  </conditionalFormatting>
  <conditionalFormatting sqref="D20:E20">
    <cfRule type="cellIs" dxfId="62" priority="101" operator="greaterThan">
      <formula>0</formula>
    </cfRule>
    <cfRule type="cellIs" dxfId="61" priority="102" operator="lessThan">
      <formula>0</formula>
    </cfRule>
    <cfRule type="cellIs" dxfId="60" priority="103" operator="greaterThan">
      <formula>100</formula>
    </cfRule>
  </conditionalFormatting>
  <conditionalFormatting sqref="D23:E23">
    <cfRule type="cellIs" dxfId="59" priority="83" operator="greaterThan">
      <formula>0</formula>
    </cfRule>
    <cfRule type="cellIs" dxfId="58" priority="84" operator="lessThan">
      <formula>0</formula>
    </cfRule>
    <cfRule type="cellIs" dxfId="57" priority="85" operator="greaterThan">
      <formula>100</formula>
    </cfRule>
  </conditionalFormatting>
  <conditionalFormatting sqref="D19:E19">
    <cfRule type="cellIs" dxfId="56" priority="89" operator="greaterThan">
      <formula>0</formula>
    </cfRule>
    <cfRule type="cellIs" dxfId="55" priority="90" operator="lessThan">
      <formula>0</formula>
    </cfRule>
    <cfRule type="cellIs" dxfId="54" priority="91" operator="greaterThan">
      <formula>100</formula>
    </cfRule>
  </conditionalFormatting>
  <conditionalFormatting sqref="D21:E21">
    <cfRule type="cellIs" dxfId="53" priority="86" operator="greaterThan">
      <formula>0</formula>
    </cfRule>
    <cfRule type="cellIs" dxfId="52" priority="87" operator="lessThan">
      <formula>0</formula>
    </cfRule>
    <cfRule type="cellIs" dxfId="51" priority="88" operator="greaterThan">
      <formula>100</formula>
    </cfRule>
  </conditionalFormatting>
  <conditionalFormatting sqref="D25">
    <cfRule type="cellIs" dxfId="50" priority="68" operator="greaterThan">
      <formula>0</formula>
    </cfRule>
    <cfRule type="cellIs" dxfId="49" priority="69" operator="lessThan">
      <formula>0</formula>
    </cfRule>
    <cfRule type="cellIs" dxfId="48" priority="70" operator="greaterThan">
      <formula>100</formula>
    </cfRule>
  </conditionalFormatting>
  <conditionalFormatting sqref="AA13:AA29">
    <cfRule type="cellIs" dxfId="47" priority="61" operator="greaterThan">
      <formula>150</formula>
    </cfRule>
  </conditionalFormatting>
  <conditionalFormatting sqref="D27:D28">
    <cfRule type="cellIs" dxfId="46" priority="54" operator="greaterThan">
      <formula>0</formula>
    </cfRule>
    <cfRule type="cellIs" dxfId="45" priority="55" operator="lessThan">
      <formula>0</formula>
    </cfRule>
    <cfRule type="cellIs" dxfId="44" priority="56" operator="greaterThan">
      <formula>100</formula>
    </cfRule>
  </conditionalFormatting>
  <conditionalFormatting sqref="D29">
    <cfRule type="cellIs" dxfId="43" priority="47" operator="greaterThan">
      <formula>0</formula>
    </cfRule>
    <cfRule type="cellIs" dxfId="42" priority="48" operator="lessThan">
      <formula>0</formula>
    </cfRule>
    <cfRule type="cellIs" dxfId="41" priority="49" operator="greaterThan">
      <formula>100</formula>
    </cfRule>
  </conditionalFormatting>
  <conditionalFormatting sqref="E15">
    <cfRule type="cellIs" dxfId="40" priority="44" operator="greaterThan">
      <formula>0</formula>
    </cfRule>
    <cfRule type="cellIs" dxfId="39" priority="45" operator="lessThan">
      <formula>0</formula>
    </cfRule>
    <cfRule type="cellIs" dxfId="38" priority="46" operator="greaterThan">
      <formula>100</formula>
    </cfRule>
  </conditionalFormatting>
  <conditionalFormatting sqref="D31">
    <cfRule type="cellIs" dxfId="37" priority="41" operator="greaterThan">
      <formula>0</formula>
    </cfRule>
    <cfRule type="cellIs" dxfId="36" priority="42" operator="lessThan">
      <formula>0</formula>
    </cfRule>
    <cfRule type="cellIs" dxfId="35" priority="43" operator="greaterThan">
      <formula>100</formula>
    </cfRule>
  </conditionalFormatting>
  <conditionalFormatting sqref="AA30">
    <cfRule type="cellIs" dxfId="34" priority="40" operator="greaterThan">
      <formula>125</formula>
    </cfRule>
  </conditionalFormatting>
  <conditionalFormatting sqref="D33:D34">
    <cfRule type="cellIs" dxfId="33" priority="37" operator="greaterThan">
      <formula>0</formula>
    </cfRule>
    <cfRule type="cellIs" dxfId="32" priority="38" operator="lessThan">
      <formula>0</formula>
    </cfRule>
    <cfRule type="cellIs" dxfId="31" priority="39" operator="greaterThan">
      <formula>100</formula>
    </cfRule>
  </conditionalFormatting>
  <conditionalFormatting sqref="D35">
    <cfRule type="cellIs" dxfId="30" priority="34" operator="greaterThan">
      <formula>0</formula>
    </cfRule>
    <cfRule type="cellIs" dxfId="29" priority="35" operator="lessThan">
      <formula>0</formula>
    </cfRule>
    <cfRule type="cellIs" dxfId="28" priority="36" operator="greaterThan">
      <formula>100</formula>
    </cfRule>
  </conditionalFormatting>
  <conditionalFormatting sqref="AA32 AA34">
    <cfRule type="cellIs" dxfId="27" priority="29" operator="greaterThan">
      <formula>"9$H$5"</formula>
    </cfRule>
  </conditionalFormatting>
  <conditionalFormatting sqref="AA34">
    <cfRule type="cellIs" dxfId="26" priority="28" operator="greaterThan">
      <formula>#REF!</formula>
    </cfRule>
  </conditionalFormatting>
  <conditionalFormatting sqref="AA32 AA34">
    <cfRule type="cellIs" dxfId="25" priority="30" operator="greaterThan">
      <formula>#REF!</formula>
    </cfRule>
  </conditionalFormatting>
  <conditionalFormatting sqref="D37">
    <cfRule type="cellIs" dxfId="24" priority="25" operator="greaterThan">
      <formula>0</formula>
    </cfRule>
    <cfRule type="cellIs" dxfId="23" priority="26" operator="lessThan">
      <formula>0</formula>
    </cfRule>
    <cfRule type="cellIs" dxfId="22" priority="27" operator="greaterThan">
      <formula>100</formula>
    </cfRule>
  </conditionalFormatting>
  <conditionalFormatting sqref="D39:D40 D42">
    <cfRule type="cellIs" dxfId="21" priority="22" operator="greaterThan">
      <formula>0</formula>
    </cfRule>
    <cfRule type="cellIs" dxfId="20" priority="23" operator="lessThan">
      <formula>0</formula>
    </cfRule>
    <cfRule type="cellIs" dxfId="19" priority="24" operator="greaterThan">
      <formula>100</formula>
    </cfRule>
  </conditionalFormatting>
  <conditionalFormatting sqref="D43">
    <cfRule type="cellIs" dxfId="18" priority="19" operator="greaterThan">
      <formula>0</formula>
    </cfRule>
    <cfRule type="cellIs" dxfId="17" priority="20" operator="lessThan">
      <formula>0</formula>
    </cfRule>
    <cfRule type="cellIs" dxfId="16" priority="21" operator="greaterThan">
      <formula>100</formula>
    </cfRule>
  </conditionalFormatting>
  <conditionalFormatting sqref="D41">
    <cfRule type="cellIs" dxfId="15" priority="16" operator="greaterThan">
      <formula>0</formula>
    </cfRule>
    <cfRule type="cellIs" dxfId="14" priority="17" operator="lessThan">
      <formula>0</formula>
    </cfRule>
    <cfRule type="cellIs" dxfId="13" priority="18" operator="greaterThan">
      <formula>100</formula>
    </cfRule>
  </conditionalFormatting>
  <conditionalFormatting sqref="AA38 AA40 AA42">
    <cfRule type="cellIs" dxfId="12" priority="12" operator="greaterThan">
      <formula>"9$H$5"</formula>
    </cfRule>
  </conditionalFormatting>
  <conditionalFormatting sqref="AA38 AA40 AA42">
    <cfRule type="cellIs" dxfId="11" priority="13" operator="greaterThan">
      <formula>#REF!</formula>
    </cfRule>
  </conditionalFormatting>
  <conditionalFormatting sqref="AA40 AA42">
    <cfRule type="cellIs" dxfId="10" priority="11" operator="greaterThan">
      <formula>#REF!</formula>
    </cfRule>
  </conditionalFormatting>
  <conditionalFormatting sqref="AA40 AA42">
    <cfRule type="cellIs" dxfId="9" priority="9" operator="greaterThan">
      <formula>#REF!</formula>
    </cfRule>
    <cfRule type="cellIs" dxfId="8" priority="10" operator="greaterThan">
      <formula>#REF!</formula>
    </cfRule>
  </conditionalFormatting>
  <conditionalFormatting sqref="AA40 AA42">
    <cfRule type="cellIs" dxfId="7" priority="8" operator="greaterThan">
      <formula>#REF!</formula>
    </cfRule>
  </conditionalFormatting>
  <conditionalFormatting sqref="AA31">
    <cfRule type="cellIs" dxfId="6" priority="7" operator="greaterThan">
      <formula>150</formula>
    </cfRule>
  </conditionalFormatting>
  <conditionalFormatting sqref="AA33">
    <cfRule type="cellIs" dxfId="5" priority="6" operator="greaterThan">
      <formula>150</formula>
    </cfRule>
  </conditionalFormatting>
  <conditionalFormatting sqref="AA35">
    <cfRule type="cellIs" dxfId="4" priority="5" operator="greaterThan">
      <formula>150</formula>
    </cfRule>
  </conditionalFormatting>
  <conditionalFormatting sqref="AA37">
    <cfRule type="cellIs" dxfId="3" priority="4" operator="greaterThan">
      <formula>150</formula>
    </cfRule>
  </conditionalFormatting>
  <conditionalFormatting sqref="AA43">
    <cfRule type="cellIs" dxfId="2" priority="1" operator="greaterThan">
      <formula>150</formula>
    </cfRule>
  </conditionalFormatting>
  <conditionalFormatting sqref="AA39">
    <cfRule type="cellIs" dxfId="1" priority="3" operator="greaterThan">
      <formula>150</formula>
    </cfRule>
  </conditionalFormatting>
  <conditionalFormatting sqref="AA41">
    <cfRule type="cellIs" dxfId="0" priority="2" operator="greaterThan">
      <formula>150</formula>
    </cfRule>
  </conditionalFormatting>
  <dataValidations count="1">
    <dataValidation type="whole" allowBlank="1" showInputMessage="1" showErrorMessage="1" sqref="D9" xr:uid="{00000000-0002-0000-0000-000000000000}">
      <formula1>G5</formula1>
      <formula2>G6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D4BF788D28E54A95B15EA36EE65AB9" ma:contentTypeVersion="0" ma:contentTypeDescription="Create a new document." ma:contentTypeScope="" ma:versionID="52d2bcb85f7fe3b5a5389512a66510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E75FD1-6687-467D-B7F6-6A80E61B34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2BB437-203B-43F4-A2A9-DAF9D8EF6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146FEF-AD03-4ED5-84AC-99CCF48C2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TSA (16A-450A)</vt:lpstr>
      <vt:lpstr>Sheet2</vt:lpstr>
      <vt:lpstr>'TSA (16A-450A)'!Yazdırma_Alanı</vt:lpstr>
    </vt:vector>
  </TitlesOfParts>
  <Company>Emotron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par.olund@cgglobal.com</dc:creator>
  <cp:lastModifiedBy>Oktay</cp:lastModifiedBy>
  <cp:lastPrinted>2014-07-17T14:52:52Z</cp:lastPrinted>
  <dcterms:created xsi:type="dcterms:W3CDTF">2009-11-24T06:35:17Z</dcterms:created>
  <dcterms:modified xsi:type="dcterms:W3CDTF">2021-01-07T13:41:39Z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0x0101005ED4BF788D28E54A95B15EA36EE65AB9</vt:lpwstr>
  </property>
</Properties>
</file>